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19A ExpansionProj\"/>
    </mc:Choice>
  </mc:AlternateContent>
  <xr:revisionPtr revIDLastSave="0" documentId="13_ncr:1_{EBFB6267-1E31-40B7-9116-6E351AC6B5C8}" xr6:coauthVersionLast="41" xr6:coauthVersionMax="41" xr10:uidLastSave="{00000000-0000-0000-0000-000000000000}"/>
  <bookViews>
    <workbookView xWindow="-98" yWindow="-98" windowWidth="20715" windowHeight="13276" xr2:uid="{00000000-000D-0000-FFFF-FFFF00000000}"/>
  </bookViews>
  <sheets>
    <sheet name="COI" sheetId="16" r:id="rId1"/>
    <sheet name="C-05 2019A" sheetId="8" state="hidden" r:id="rId2"/>
    <sheet name="2020A" sheetId="9" r:id="rId3"/>
    <sheet name="C-31 1of3" sheetId="12" state="hidden" r:id="rId4"/>
    <sheet name="C-31 2of3" sheetId="13" state="hidden" r:id="rId5"/>
    <sheet name="C-31 3of3" sheetId="14" state="hidden" r:id="rId6"/>
    <sheet name="Total Debt" sheetId="3" r:id="rId7"/>
    <sheet name="Prior" sheetId="4" r:id="rId8"/>
    <sheet name="Series Detail" sheetId="1" r:id="rId9"/>
    <sheet name="Refunded Prior" sheetId="11" r:id="rId10"/>
    <sheet name="FY2020" sheetId="15" r:id="rId11"/>
  </sheets>
  <definedNames>
    <definedName name="_xlnm.Print_Area" localSheetId="2">'2020A'!$A$1:$M$76</definedName>
    <definedName name="_xlnm.Print_Area" localSheetId="4">'C-31 2of3'!$A$1:$L$52</definedName>
    <definedName name="_xlnm.Print_Area" localSheetId="5">'C-31 3of3'!$A$1:$L$55</definedName>
    <definedName name="_xlnm.Print_Area" localSheetId="0">COI!$A$1:$M$56</definedName>
    <definedName name="_xlnm.Print_Area" localSheetId="7">Prior!$A$1:$M$96</definedName>
    <definedName name="_xlnm.Print_Area" localSheetId="8">'Series Detail'!$A$1:$FD$98</definedName>
    <definedName name="_xlnm.Print_Area" localSheetId="6">'Total Debt'!$A$1:$M$96</definedName>
    <definedName name="_xlnm.Print_Titles" localSheetId="2">'2020A'!$1:$9</definedName>
    <definedName name="_xlnm.Print_Titles" localSheetId="7">Prior!$1:$9</definedName>
    <definedName name="_xlnm.Print_Titles" localSheetId="6">'Total Debt'!$1:$9</definedName>
    <definedName name="ProjectName" localSheetId="6">{"Client Name or Project Name"}</definedName>
    <definedName name="ProjectName">{"Client Name or Project Name"}</definedName>
    <definedName name="SeriesTotalEPB_DS">'Series Detail'!$H:$M</definedName>
    <definedName name="TotalEPB_DS">'Total Debt'!$A:$M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6" l="1"/>
  <c r="C30" i="16"/>
  <c r="A76" i="9"/>
  <c r="A56" i="16" l="1"/>
  <c r="D42" i="16"/>
  <c r="D41" i="16"/>
  <c r="D40" i="16"/>
  <c r="J39" i="16"/>
  <c r="D39" i="16"/>
  <c r="J38" i="16"/>
  <c r="D38" i="16"/>
  <c r="L38" i="16" s="1"/>
  <c r="D37" i="16"/>
  <c r="L37" i="16" s="1"/>
  <c r="D36" i="16"/>
  <c r="L36" i="16" s="1"/>
  <c r="L35" i="16"/>
  <c r="J35" i="16"/>
  <c r="D35" i="16"/>
  <c r="J34" i="16"/>
  <c r="D34" i="16"/>
  <c r="L34" i="16" s="1"/>
  <c r="J33" i="16"/>
  <c r="D33" i="16"/>
  <c r="L33" i="16" s="1"/>
  <c r="D32" i="16"/>
  <c r="L32" i="16" s="1"/>
  <c r="L31" i="16"/>
  <c r="D31" i="16"/>
  <c r="J31" i="16" s="1"/>
  <c r="L47" i="16" s="1"/>
  <c r="D30" i="16"/>
  <c r="J26" i="16"/>
  <c r="D26" i="16"/>
  <c r="J25" i="16"/>
  <c r="D25" i="16"/>
  <c r="J24" i="16"/>
  <c r="D24" i="16"/>
  <c r="C24" i="16"/>
  <c r="J23" i="16"/>
  <c r="D23" i="16"/>
  <c r="J22" i="16"/>
  <c r="D22" i="16"/>
  <c r="J21" i="16"/>
  <c r="D21" i="16"/>
  <c r="D20" i="16"/>
  <c r="J19" i="16"/>
  <c r="F19" i="16"/>
  <c r="D19" i="16"/>
  <c r="L19" i="16" s="1"/>
  <c r="J18" i="16"/>
  <c r="D18" i="16"/>
  <c r="L18" i="16" s="1"/>
  <c r="F15" i="16"/>
  <c r="C15" i="16"/>
  <c r="C28" i="16" s="1"/>
  <c r="C44" i="16" s="1"/>
  <c r="B15" i="16"/>
  <c r="B28" i="16" s="1"/>
  <c r="B44" i="16" s="1"/>
  <c r="J13" i="16"/>
  <c r="C12" i="16"/>
  <c r="D12" i="16" s="1"/>
  <c r="J10" i="16"/>
  <c r="J9" i="16"/>
  <c r="D4" i="16"/>
  <c r="C10" i="16" l="1"/>
  <c r="D10" i="16" s="1"/>
  <c r="L10" i="16" s="1"/>
  <c r="C13" i="16"/>
  <c r="D13" i="16" s="1"/>
  <c r="L13" i="16" s="1"/>
  <c r="C9" i="16"/>
  <c r="D9" i="16" s="1"/>
  <c r="C11" i="16"/>
  <c r="D11" i="16" s="1"/>
  <c r="J11" i="16" s="1"/>
  <c r="D46" i="16"/>
  <c r="L54" i="16"/>
  <c r="L9" i="16"/>
  <c r="J12" i="16"/>
  <c r="L12" i="16"/>
  <c r="L30" i="16"/>
  <c r="J32" i="16"/>
  <c r="D15" i="16" l="1"/>
  <c r="D28" i="16" s="1"/>
  <c r="D44" i="16" s="1"/>
  <c r="L11" i="16"/>
  <c r="L15" i="16"/>
  <c r="L28" i="16" s="1"/>
  <c r="L44" i="16" s="1"/>
  <c r="J15" i="16"/>
  <c r="L46" i="16"/>
  <c r="L53" i="16" l="1"/>
  <c r="M46" i="16"/>
  <c r="M15" i="16"/>
  <c r="J28" i="16"/>
  <c r="L51" i="16"/>
  <c r="M54" i="16" s="1"/>
  <c r="M47" i="16"/>
  <c r="J44" i="16" l="1"/>
  <c r="M28" i="16"/>
  <c r="M53" i="16"/>
  <c r="J51" i="16" l="1"/>
  <c r="M44" i="16"/>
  <c r="G192" i="15" l="1"/>
  <c r="G191" i="15"/>
  <c r="F192" i="15"/>
  <c r="F191" i="15"/>
  <c r="E192" i="15"/>
  <c r="E191" i="15"/>
  <c r="D192" i="15"/>
  <c r="D191" i="15"/>
  <c r="B192" i="15"/>
  <c r="B191" i="15"/>
  <c r="G12" i="15"/>
  <c r="G11" i="15"/>
  <c r="K71" i="9"/>
  <c r="I71" i="9"/>
  <c r="E71" i="9"/>
  <c r="K70" i="9"/>
  <c r="I70" i="9"/>
  <c r="E70" i="9"/>
  <c r="K69" i="9"/>
  <c r="I69" i="9"/>
  <c r="E69" i="9"/>
  <c r="K68" i="9"/>
  <c r="I68" i="9"/>
  <c r="E68" i="9"/>
  <c r="K67" i="9"/>
  <c r="I67" i="9"/>
  <c r="E67" i="9"/>
  <c r="K66" i="9"/>
  <c r="I66" i="9"/>
  <c r="E66" i="9"/>
  <c r="K65" i="9"/>
  <c r="I65" i="9"/>
  <c r="K64" i="9"/>
  <c r="I64" i="9"/>
  <c r="E64" i="9"/>
  <c r="K63" i="9"/>
  <c r="I63" i="9"/>
  <c r="K62" i="9"/>
  <c r="I62" i="9"/>
  <c r="E62" i="9"/>
  <c r="K61" i="9"/>
  <c r="I61" i="9"/>
  <c r="K60" i="9"/>
  <c r="I60" i="9"/>
  <c r="E60" i="9"/>
  <c r="K59" i="9"/>
  <c r="I59" i="9"/>
  <c r="K58" i="9"/>
  <c r="I58" i="9"/>
  <c r="E58" i="9"/>
  <c r="K57" i="9"/>
  <c r="I57" i="9"/>
  <c r="K56" i="9"/>
  <c r="I56" i="9"/>
  <c r="E56" i="9"/>
  <c r="K55" i="9"/>
  <c r="I55" i="9"/>
  <c r="K54" i="9"/>
  <c r="I54" i="9"/>
  <c r="K53" i="9"/>
  <c r="I53" i="9"/>
  <c r="K52" i="9"/>
  <c r="I52" i="9"/>
  <c r="K51" i="9"/>
  <c r="I51" i="9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51" i="9"/>
  <c r="K50" i="9"/>
  <c r="I50" i="9"/>
  <c r="K49" i="9"/>
  <c r="I49" i="9"/>
  <c r="K48" i="9"/>
  <c r="I48" i="9"/>
  <c r="K47" i="9"/>
  <c r="I47" i="9"/>
  <c r="K46" i="9"/>
  <c r="I46" i="9"/>
  <c r="K45" i="9"/>
  <c r="I45" i="9"/>
  <c r="K44" i="9"/>
  <c r="I44" i="9"/>
  <c r="K43" i="9"/>
  <c r="I43" i="9"/>
  <c r="K42" i="9"/>
  <c r="I42" i="9"/>
  <c r="K41" i="9"/>
  <c r="I41" i="9"/>
  <c r="K40" i="9"/>
  <c r="I40" i="9"/>
  <c r="K39" i="9"/>
  <c r="I39" i="9"/>
  <c r="K38" i="9"/>
  <c r="I38" i="9"/>
  <c r="K37" i="9"/>
  <c r="I37" i="9"/>
  <c r="K36" i="9"/>
  <c r="I36" i="9"/>
  <c r="K35" i="9"/>
  <c r="I35" i="9"/>
  <c r="K34" i="9"/>
  <c r="I34" i="9"/>
  <c r="K33" i="9"/>
  <c r="I33" i="9"/>
  <c r="K32" i="9"/>
  <c r="I32" i="9"/>
  <c r="K31" i="9"/>
  <c r="I31" i="9"/>
  <c r="K30" i="9"/>
  <c r="I30" i="9"/>
  <c r="K29" i="9"/>
  <c r="I29" i="9"/>
  <c r="K28" i="9"/>
  <c r="I28" i="9"/>
  <c r="K27" i="9"/>
  <c r="I27" i="9"/>
  <c r="K26" i="9"/>
  <c r="I26" i="9"/>
  <c r="K25" i="9"/>
  <c r="I25" i="9"/>
  <c r="K24" i="9"/>
  <c r="I24" i="9"/>
  <c r="K23" i="9"/>
  <c r="I23" i="9"/>
  <c r="K22" i="9"/>
  <c r="I22" i="9"/>
  <c r="K21" i="9"/>
  <c r="I21" i="9"/>
  <c r="K20" i="9"/>
  <c r="I20" i="9"/>
  <c r="K19" i="9"/>
  <c r="I19" i="9"/>
  <c r="K18" i="9"/>
  <c r="I18" i="9"/>
  <c r="K17" i="9"/>
  <c r="I17" i="9"/>
  <c r="K16" i="9"/>
  <c r="I16" i="9"/>
  <c r="K15" i="9"/>
  <c r="I15" i="9"/>
  <c r="K14" i="9"/>
  <c r="I14" i="9"/>
  <c r="K13" i="9"/>
  <c r="I13" i="9"/>
  <c r="K12" i="9"/>
  <c r="I12" i="9"/>
  <c r="K11" i="9"/>
  <c r="I11" i="9"/>
  <c r="G11" i="9"/>
  <c r="K10" i="9"/>
  <c r="I10" i="9"/>
  <c r="G10" i="9"/>
  <c r="AF13" i="1"/>
  <c r="AF12" i="1"/>
  <c r="L93" i="1"/>
  <c r="K93" i="1"/>
  <c r="I93" i="1"/>
  <c r="L91" i="1"/>
  <c r="K91" i="1"/>
  <c r="I91" i="1"/>
  <c r="L89" i="1"/>
  <c r="K89" i="1"/>
  <c r="I89" i="1"/>
  <c r="L87" i="1"/>
  <c r="K87" i="1"/>
  <c r="I87" i="1"/>
  <c r="L85" i="1"/>
  <c r="K85" i="1"/>
  <c r="I85" i="1"/>
  <c r="L83" i="1"/>
  <c r="K83" i="1"/>
  <c r="I83" i="1"/>
  <c r="L81" i="1"/>
  <c r="K81" i="1"/>
  <c r="I81" i="1"/>
  <c r="L79" i="1"/>
  <c r="K79" i="1"/>
  <c r="I79" i="1"/>
  <c r="L77" i="1"/>
  <c r="K77" i="1"/>
  <c r="I77" i="1"/>
  <c r="L75" i="1"/>
  <c r="K75" i="1"/>
  <c r="I75" i="1"/>
  <c r="L73" i="1"/>
  <c r="K73" i="1"/>
  <c r="I73" i="1"/>
  <c r="L71" i="1"/>
  <c r="K71" i="1"/>
  <c r="I71" i="1"/>
  <c r="L69" i="1"/>
  <c r="K69" i="1"/>
  <c r="I69" i="1"/>
  <c r="L67" i="1"/>
  <c r="K67" i="1"/>
  <c r="I67" i="1"/>
  <c r="L65" i="1"/>
  <c r="K65" i="1"/>
  <c r="I65" i="1"/>
  <c r="L63" i="1"/>
  <c r="K63" i="1"/>
  <c r="I63" i="1"/>
  <c r="L61" i="1"/>
  <c r="K61" i="1"/>
  <c r="I61" i="1"/>
  <c r="L59" i="1"/>
  <c r="K59" i="1"/>
  <c r="I59" i="1"/>
  <c r="L57" i="1"/>
  <c r="K57" i="1"/>
  <c r="I57" i="1"/>
  <c r="L55" i="1"/>
  <c r="K55" i="1"/>
  <c r="I55" i="1"/>
  <c r="L53" i="1"/>
  <c r="K53" i="1"/>
  <c r="I53" i="1"/>
  <c r="L51" i="1"/>
  <c r="K51" i="1"/>
  <c r="I51" i="1"/>
  <c r="L49" i="1"/>
  <c r="K49" i="1"/>
  <c r="I49" i="1"/>
  <c r="L47" i="1"/>
  <c r="K47" i="1"/>
  <c r="I47" i="1"/>
  <c r="L45" i="1"/>
  <c r="K45" i="1"/>
  <c r="I45" i="1"/>
  <c r="L43" i="1"/>
  <c r="K43" i="1"/>
  <c r="I43" i="1"/>
  <c r="L41" i="1"/>
  <c r="K41" i="1"/>
  <c r="I41" i="1"/>
  <c r="L39" i="1"/>
  <c r="K39" i="1"/>
  <c r="I39" i="1"/>
  <c r="L37" i="1"/>
  <c r="K37" i="1"/>
  <c r="I37" i="1"/>
  <c r="L35" i="1"/>
  <c r="K35" i="1"/>
  <c r="I35" i="1"/>
  <c r="L33" i="1"/>
  <c r="K33" i="1"/>
  <c r="I33" i="1"/>
  <c r="L31" i="1"/>
  <c r="K31" i="1"/>
  <c r="I31" i="1"/>
  <c r="L29" i="1"/>
  <c r="K29" i="1"/>
  <c r="I29" i="1"/>
  <c r="L27" i="1"/>
  <c r="K27" i="1"/>
  <c r="I27" i="1"/>
  <c r="L25" i="1"/>
  <c r="K25" i="1"/>
  <c r="I25" i="1"/>
  <c r="L23" i="1"/>
  <c r="K23" i="1"/>
  <c r="I23" i="1"/>
  <c r="L21" i="1"/>
  <c r="K21" i="1"/>
  <c r="I21" i="1"/>
  <c r="L19" i="1"/>
  <c r="K19" i="1"/>
  <c r="I19" i="1"/>
  <c r="L17" i="1"/>
  <c r="K17" i="1"/>
  <c r="I17" i="1"/>
  <c r="L15" i="1"/>
  <c r="K15" i="1"/>
  <c r="I15" i="1"/>
  <c r="L13" i="1"/>
  <c r="K13" i="1"/>
  <c r="I13" i="1"/>
  <c r="U93" i="1"/>
  <c r="I91" i="4" s="1"/>
  <c r="T93" i="1"/>
  <c r="G91" i="4" s="1"/>
  <c r="R93" i="1"/>
  <c r="C91" i="4" s="1"/>
  <c r="U92" i="1"/>
  <c r="I90" i="4" s="1"/>
  <c r="T92" i="1"/>
  <c r="G90" i="4" s="1"/>
  <c r="R92" i="1"/>
  <c r="C90" i="4" s="1"/>
  <c r="U91" i="1"/>
  <c r="I89" i="4" s="1"/>
  <c r="T91" i="1"/>
  <c r="G89" i="4" s="1"/>
  <c r="R91" i="1"/>
  <c r="C89" i="4" s="1"/>
  <c r="U90" i="1"/>
  <c r="I88" i="4" s="1"/>
  <c r="T90" i="1"/>
  <c r="G88" i="4" s="1"/>
  <c r="R90" i="1"/>
  <c r="C88" i="4" s="1"/>
  <c r="U89" i="1"/>
  <c r="I87" i="4" s="1"/>
  <c r="T89" i="1"/>
  <c r="G87" i="4" s="1"/>
  <c r="R89" i="1"/>
  <c r="C87" i="4" s="1"/>
  <c r="U88" i="1"/>
  <c r="I86" i="4" s="1"/>
  <c r="T88" i="1"/>
  <c r="G86" i="4" s="1"/>
  <c r="R88" i="1"/>
  <c r="C86" i="4" s="1"/>
  <c r="U87" i="1"/>
  <c r="I85" i="4" s="1"/>
  <c r="T87" i="1"/>
  <c r="G85" i="4" s="1"/>
  <c r="R87" i="1"/>
  <c r="C85" i="4" s="1"/>
  <c r="U86" i="1"/>
  <c r="I84" i="4" s="1"/>
  <c r="T86" i="1"/>
  <c r="G84" i="4" s="1"/>
  <c r="R86" i="1"/>
  <c r="C84" i="4" s="1"/>
  <c r="U85" i="1"/>
  <c r="I83" i="4" s="1"/>
  <c r="T85" i="1"/>
  <c r="G83" i="4" s="1"/>
  <c r="R85" i="1"/>
  <c r="C83" i="4" s="1"/>
  <c r="U84" i="1"/>
  <c r="I82" i="4" s="1"/>
  <c r="T84" i="1"/>
  <c r="G82" i="4" s="1"/>
  <c r="R84" i="1"/>
  <c r="C82" i="4" s="1"/>
  <c r="U83" i="1"/>
  <c r="I81" i="4" s="1"/>
  <c r="T83" i="1"/>
  <c r="G81" i="4" s="1"/>
  <c r="R83" i="1"/>
  <c r="C81" i="4" s="1"/>
  <c r="U82" i="1"/>
  <c r="I80" i="4" s="1"/>
  <c r="T82" i="1"/>
  <c r="G80" i="4" s="1"/>
  <c r="R82" i="1"/>
  <c r="C80" i="4" s="1"/>
  <c r="U81" i="1"/>
  <c r="I79" i="4" s="1"/>
  <c r="T81" i="1"/>
  <c r="G79" i="4" s="1"/>
  <c r="R81" i="1"/>
  <c r="C79" i="4" s="1"/>
  <c r="U80" i="1"/>
  <c r="I78" i="4" s="1"/>
  <c r="T80" i="1"/>
  <c r="G78" i="4" s="1"/>
  <c r="R80" i="1"/>
  <c r="C78" i="4" s="1"/>
  <c r="U79" i="1"/>
  <c r="I77" i="4" s="1"/>
  <c r="T79" i="1"/>
  <c r="G77" i="4" s="1"/>
  <c r="R79" i="1"/>
  <c r="C77" i="4" s="1"/>
  <c r="U78" i="1"/>
  <c r="I76" i="4" s="1"/>
  <c r="T78" i="1"/>
  <c r="G76" i="4" s="1"/>
  <c r="R78" i="1"/>
  <c r="C76" i="4" s="1"/>
  <c r="U77" i="1"/>
  <c r="I75" i="4" s="1"/>
  <c r="T77" i="1"/>
  <c r="G75" i="4" s="1"/>
  <c r="R77" i="1"/>
  <c r="C75" i="4" s="1"/>
  <c r="U76" i="1"/>
  <c r="I74" i="4" s="1"/>
  <c r="T76" i="1"/>
  <c r="G74" i="4" s="1"/>
  <c r="R76" i="1"/>
  <c r="C74" i="4" s="1"/>
  <c r="U75" i="1"/>
  <c r="I73" i="4" s="1"/>
  <c r="T75" i="1"/>
  <c r="G73" i="4" s="1"/>
  <c r="R75" i="1"/>
  <c r="C73" i="4" s="1"/>
  <c r="U74" i="1"/>
  <c r="I72" i="4" s="1"/>
  <c r="T74" i="1"/>
  <c r="G72" i="4" s="1"/>
  <c r="R74" i="1"/>
  <c r="C72" i="4" s="1"/>
  <c r="U73" i="1"/>
  <c r="I71" i="4" s="1"/>
  <c r="T73" i="1"/>
  <c r="G71" i="4" s="1"/>
  <c r="R73" i="1"/>
  <c r="C71" i="4" s="1"/>
  <c r="U72" i="1"/>
  <c r="I70" i="4" s="1"/>
  <c r="T72" i="1"/>
  <c r="G70" i="4" s="1"/>
  <c r="R72" i="1"/>
  <c r="C70" i="4" s="1"/>
  <c r="U71" i="1"/>
  <c r="I69" i="4" s="1"/>
  <c r="T71" i="1"/>
  <c r="G69" i="4" s="1"/>
  <c r="R71" i="1"/>
  <c r="C69" i="4" s="1"/>
  <c r="U70" i="1"/>
  <c r="I68" i="4" s="1"/>
  <c r="T70" i="1"/>
  <c r="G68" i="4" s="1"/>
  <c r="R70" i="1"/>
  <c r="C68" i="4" s="1"/>
  <c r="U69" i="1"/>
  <c r="I67" i="4" s="1"/>
  <c r="T69" i="1"/>
  <c r="G67" i="4" s="1"/>
  <c r="R69" i="1"/>
  <c r="C67" i="4" s="1"/>
  <c r="U68" i="1"/>
  <c r="I66" i="4" s="1"/>
  <c r="T68" i="1"/>
  <c r="G66" i="4" s="1"/>
  <c r="R68" i="1"/>
  <c r="C66" i="4" s="1"/>
  <c r="U67" i="1"/>
  <c r="I65" i="4" s="1"/>
  <c r="T67" i="1"/>
  <c r="G65" i="4" s="1"/>
  <c r="R67" i="1"/>
  <c r="C65" i="4" s="1"/>
  <c r="U66" i="1"/>
  <c r="I64" i="4" s="1"/>
  <c r="T66" i="1"/>
  <c r="G64" i="4" s="1"/>
  <c r="R66" i="1"/>
  <c r="C64" i="4" s="1"/>
  <c r="U65" i="1"/>
  <c r="I63" i="4" s="1"/>
  <c r="T65" i="1"/>
  <c r="G63" i="4" s="1"/>
  <c r="R65" i="1"/>
  <c r="C63" i="4" s="1"/>
  <c r="U64" i="1"/>
  <c r="I62" i="4" s="1"/>
  <c r="T64" i="1"/>
  <c r="G62" i="4" s="1"/>
  <c r="R64" i="1"/>
  <c r="C62" i="4" s="1"/>
  <c r="U63" i="1"/>
  <c r="I61" i="4" s="1"/>
  <c r="T63" i="1"/>
  <c r="G61" i="4" s="1"/>
  <c r="R63" i="1"/>
  <c r="C61" i="4" s="1"/>
  <c r="U62" i="1"/>
  <c r="I60" i="4" s="1"/>
  <c r="T62" i="1"/>
  <c r="G60" i="4" s="1"/>
  <c r="R62" i="1"/>
  <c r="C60" i="4" s="1"/>
  <c r="U61" i="1"/>
  <c r="I59" i="4" s="1"/>
  <c r="T61" i="1"/>
  <c r="G59" i="4" s="1"/>
  <c r="R61" i="1"/>
  <c r="C59" i="4" s="1"/>
  <c r="U60" i="1"/>
  <c r="I58" i="4" s="1"/>
  <c r="T60" i="1"/>
  <c r="G58" i="4" s="1"/>
  <c r="R60" i="1"/>
  <c r="C58" i="4" s="1"/>
  <c r="U59" i="1"/>
  <c r="I57" i="4" s="1"/>
  <c r="T59" i="1"/>
  <c r="G57" i="4" s="1"/>
  <c r="R59" i="1"/>
  <c r="C57" i="4" s="1"/>
  <c r="U58" i="1"/>
  <c r="I56" i="4" s="1"/>
  <c r="T58" i="1"/>
  <c r="G56" i="4" s="1"/>
  <c r="R58" i="1"/>
  <c r="C56" i="4" s="1"/>
  <c r="U57" i="1"/>
  <c r="I55" i="4" s="1"/>
  <c r="T57" i="1"/>
  <c r="G55" i="4" s="1"/>
  <c r="R57" i="1"/>
  <c r="C55" i="4" s="1"/>
  <c r="U56" i="1"/>
  <c r="I54" i="4" s="1"/>
  <c r="T56" i="1"/>
  <c r="G54" i="4" s="1"/>
  <c r="R56" i="1"/>
  <c r="C54" i="4" s="1"/>
  <c r="U55" i="1"/>
  <c r="I53" i="4" s="1"/>
  <c r="T55" i="1"/>
  <c r="G53" i="4" s="1"/>
  <c r="R55" i="1"/>
  <c r="C53" i="4" s="1"/>
  <c r="U54" i="1"/>
  <c r="I52" i="4" s="1"/>
  <c r="T54" i="1"/>
  <c r="G52" i="4" s="1"/>
  <c r="R54" i="1"/>
  <c r="C52" i="4" s="1"/>
  <c r="U53" i="1"/>
  <c r="I51" i="4" s="1"/>
  <c r="T53" i="1"/>
  <c r="G51" i="4" s="1"/>
  <c r="R53" i="1"/>
  <c r="C51" i="4" s="1"/>
  <c r="U52" i="1"/>
  <c r="I50" i="4" s="1"/>
  <c r="T52" i="1"/>
  <c r="G50" i="4" s="1"/>
  <c r="R52" i="1"/>
  <c r="C50" i="4" s="1"/>
  <c r="U51" i="1"/>
  <c r="I49" i="4" s="1"/>
  <c r="T51" i="1"/>
  <c r="G49" i="4" s="1"/>
  <c r="R51" i="1"/>
  <c r="C49" i="4" s="1"/>
  <c r="U50" i="1"/>
  <c r="I48" i="4" s="1"/>
  <c r="T50" i="1"/>
  <c r="G48" i="4" s="1"/>
  <c r="R50" i="1"/>
  <c r="C48" i="4" s="1"/>
  <c r="U49" i="1"/>
  <c r="I47" i="4" s="1"/>
  <c r="T49" i="1"/>
  <c r="G47" i="4" s="1"/>
  <c r="R49" i="1"/>
  <c r="C47" i="4" s="1"/>
  <c r="U48" i="1"/>
  <c r="I46" i="4" s="1"/>
  <c r="T48" i="1"/>
  <c r="G46" i="4" s="1"/>
  <c r="R48" i="1"/>
  <c r="C46" i="4" s="1"/>
  <c r="U47" i="1"/>
  <c r="I45" i="4" s="1"/>
  <c r="T47" i="1"/>
  <c r="G45" i="4" s="1"/>
  <c r="R47" i="1"/>
  <c r="C45" i="4" s="1"/>
  <c r="U46" i="1"/>
  <c r="I44" i="4" s="1"/>
  <c r="T46" i="1"/>
  <c r="G44" i="4" s="1"/>
  <c r="R46" i="1"/>
  <c r="C44" i="4" s="1"/>
  <c r="U45" i="1"/>
  <c r="I43" i="4" s="1"/>
  <c r="T45" i="1"/>
  <c r="G43" i="4" s="1"/>
  <c r="R45" i="1"/>
  <c r="C43" i="4" s="1"/>
  <c r="U44" i="1"/>
  <c r="I42" i="4" s="1"/>
  <c r="T44" i="1"/>
  <c r="G42" i="4" s="1"/>
  <c r="R44" i="1"/>
  <c r="C42" i="4" s="1"/>
  <c r="U43" i="1"/>
  <c r="I41" i="4" s="1"/>
  <c r="T43" i="1"/>
  <c r="G41" i="4" s="1"/>
  <c r="R43" i="1"/>
  <c r="C41" i="4" s="1"/>
  <c r="U42" i="1"/>
  <c r="I40" i="4" s="1"/>
  <c r="T42" i="1"/>
  <c r="G40" i="4" s="1"/>
  <c r="R42" i="1"/>
  <c r="C40" i="4" s="1"/>
  <c r="U41" i="1"/>
  <c r="I39" i="4" s="1"/>
  <c r="T41" i="1"/>
  <c r="G39" i="4" s="1"/>
  <c r="R41" i="1"/>
  <c r="C39" i="4" s="1"/>
  <c r="U40" i="1"/>
  <c r="I38" i="4" s="1"/>
  <c r="T40" i="1"/>
  <c r="G38" i="4" s="1"/>
  <c r="R40" i="1"/>
  <c r="C38" i="4" s="1"/>
  <c r="U39" i="1"/>
  <c r="I37" i="4" s="1"/>
  <c r="T39" i="1"/>
  <c r="G37" i="4" s="1"/>
  <c r="R39" i="1"/>
  <c r="C37" i="4" s="1"/>
  <c r="U38" i="1"/>
  <c r="I36" i="4" s="1"/>
  <c r="T38" i="1"/>
  <c r="G36" i="4" s="1"/>
  <c r="R38" i="1"/>
  <c r="C36" i="4" s="1"/>
  <c r="U37" i="1"/>
  <c r="I35" i="4" s="1"/>
  <c r="T37" i="1"/>
  <c r="G35" i="4" s="1"/>
  <c r="R37" i="1"/>
  <c r="C35" i="4" s="1"/>
  <c r="U36" i="1"/>
  <c r="I34" i="4" s="1"/>
  <c r="T36" i="1"/>
  <c r="G34" i="4" s="1"/>
  <c r="R36" i="1"/>
  <c r="C34" i="4" s="1"/>
  <c r="U35" i="1"/>
  <c r="I33" i="4" s="1"/>
  <c r="T35" i="1"/>
  <c r="G33" i="4" s="1"/>
  <c r="R35" i="1"/>
  <c r="C33" i="4" s="1"/>
  <c r="U34" i="1"/>
  <c r="I32" i="4" s="1"/>
  <c r="T34" i="1"/>
  <c r="G32" i="4" s="1"/>
  <c r="R34" i="1"/>
  <c r="C32" i="4" s="1"/>
  <c r="U33" i="1"/>
  <c r="I31" i="4" s="1"/>
  <c r="T33" i="1"/>
  <c r="G31" i="4" s="1"/>
  <c r="R33" i="1"/>
  <c r="C31" i="4" s="1"/>
  <c r="U32" i="1"/>
  <c r="I30" i="4" s="1"/>
  <c r="T32" i="1"/>
  <c r="G30" i="4" s="1"/>
  <c r="R32" i="1"/>
  <c r="C30" i="4" s="1"/>
  <c r="U31" i="1"/>
  <c r="I29" i="4" s="1"/>
  <c r="T31" i="1"/>
  <c r="G29" i="4" s="1"/>
  <c r="R31" i="1"/>
  <c r="C29" i="4" s="1"/>
  <c r="U30" i="1"/>
  <c r="I28" i="4" s="1"/>
  <c r="T30" i="1"/>
  <c r="G28" i="4" s="1"/>
  <c r="R30" i="1"/>
  <c r="C28" i="4" s="1"/>
  <c r="U29" i="1"/>
  <c r="I27" i="4" s="1"/>
  <c r="T29" i="1"/>
  <c r="G27" i="4" s="1"/>
  <c r="R29" i="1"/>
  <c r="C27" i="4" s="1"/>
  <c r="U28" i="1"/>
  <c r="I26" i="4" s="1"/>
  <c r="T28" i="1"/>
  <c r="G26" i="4" s="1"/>
  <c r="R28" i="1"/>
  <c r="C26" i="4" s="1"/>
  <c r="U27" i="1"/>
  <c r="I25" i="4" s="1"/>
  <c r="T27" i="1"/>
  <c r="G25" i="4" s="1"/>
  <c r="R27" i="1"/>
  <c r="C25" i="4" s="1"/>
  <c r="U26" i="1"/>
  <c r="I24" i="4" s="1"/>
  <c r="T26" i="1"/>
  <c r="G24" i="4" s="1"/>
  <c r="R26" i="1"/>
  <c r="C24" i="4" s="1"/>
  <c r="U25" i="1"/>
  <c r="I23" i="4" s="1"/>
  <c r="T25" i="1"/>
  <c r="G23" i="4" s="1"/>
  <c r="R25" i="1"/>
  <c r="C23" i="4" s="1"/>
  <c r="U24" i="1"/>
  <c r="I22" i="4" s="1"/>
  <c r="T24" i="1"/>
  <c r="G22" i="4" s="1"/>
  <c r="R24" i="1"/>
  <c r="C22" i="4" s="1"/>
  <c r="U23" i="1"/>
  <c r="I21" i="4" s="1"/>
  <c r="T23" i="1"/>
  <c r="G21" i="4" s="1"/>
  <c r="R23" i="1"/>
  <c r="C21" i="4" s="1"/>
  <c r="U22" i="1"/>
  <c r="I20" i="4" s="1"/>
  <c r="T22" i="1"/>
  <c r="G20" i="4" s="1"/>
  <c r="R22" i="1"/>
  <c r="C20" i="4" s="1"/>
  <c r="U21" i="1"/>
  <c r="I19" i="4" s="1"/>
  <c r="T21" i="1"/>
  <c r="G19" i="4" s="1"/>
  <c r="R21" i="1"/>
  <c r="C19" i="4" s="1"/>
  <c r="U20" i="1"/>
  <c r="I18" i="4" s="1"/>
  <c r="T20" i="1"/>
  <c r="G18" i="4" s="1"/>
  <c r="R20" i="1"/>
  <c r="C18" i="4" s="1"/>
  <c r="U19" i="1"/>
  <c r="I17" i="4" s="1"/>
  <c r="T19" i="1"/>
  <c r="G17" i="4" s="1"/>
  <c r="R19" i="1"/>
  <c r="C17" i="4" s="1"/>
  <c r="U18" i="1"/>
  <c r="I16" i="4" s="1"/>
  <c r="T18" i="1"/>
  <c r="G16" i="4" s="1"/>
  <c r="R18" i="1"/>
  <c r="C16" i="4" s="1"/>
  <c r="U17" i="1"/>
  <c r="I15" i="4" s="1"/>
  <c r="T17" i="1"/>
  <c r="G15" i="4" s="1"/>
  <c r="R17" i="1"/>
  <c r="C15" i="4" s="1"/>
  <c r="U16" i="1"/>
  <c r="I14" i="4" s="1"/>
  <c r="T16" i="1"/>
  <c r="G14" i="4" s="1"/>
  <c r="R16" i="1"/>
  <c r="C14" i="4" s="1"/>
  <c r="U15" i="1"/>
  <c r="I13" i="4" s="1"/>
  <c r="T15" i="1"/>
  <c r="G13" i="4" s="1"/>
  <c r="R15" i="1"/>
  <c r="C13" i="4" s="1"/>
  <c r="U14" i="1"/>
  <c r="I12" i="4" s="1"/>
  <c r="T14" i="1"/>
  <c r="G12" i="4" s="1"/>
  <c r="R14" i="1"/>
  <c r="C12" i="4" s="1"/>
  <c r="U13" i="1"/>
  <c r="I11" i="4" s="1"/>
  <c r="T13" i="1"/>
  <c r="G11" i="4" s="1"/>
  <c r="R13" i="1"/>
  <c r="C11" i="4" s="1"/>
  <c r="U12" i="1"/>
  <c r="I10" i="4" s="1"/>
  <c r="T12" i="1"/>
  <c r="G10" i="4" s="1"/>
  <c r="R12" i="1"/>
  <c r="C10" i="4" s="1"/>
  <c r="AE95" i="1"/>
  <c r="I100" i="4" s="1"/>
  <c r="AD95" i="1"/>
  <c r="G100" i="4" s="1"/>
  <c r="AA95" i="1"/>
  <c r="Y95" i="1"/>
  <c r="AC93" i="1"/>
  <c r="AN12" i="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BY93" i="11"/>
  <c r="BY92" i="11"/>
  <c r="BY91" i="11"/>
  <c r="BY90" i="11"/>
  <c r="BY89" i="11"/>
  <c r="BY88" i="11"/>
  <c r="BY87" i="11"/>
  <c r="BY86" i="11"/>
  <c r="BY85" i="11"/>
  <c r="BY84" i="11"/>
  <c r="BY83" i="11"/>
  <c r="BY82" i="11"/>
  <c r="BY81" i="11"/>
  <c r="BY80" i="11"/>
  <c r="BY79" i="11"/>
  <c r="BY78" i="11"/>
  <c r="BY77" i="11"/>
  <c r="BY76" i="11"/>
  <c r="BY75" i="11"/>
  <c r="BY74" i="11"/>
  <c r="BY73" i="11"/>
  <c r="BY72" i="11"/>
  <c r="BY71" i="11"/>
  <c r="BY70" i="11"/>
  <c r="BY69" i="11"/>
  <c r="BY68" i="11"/>
  <c r="BY67" i="11"/>
  <c r="BY66" i="11"/>
  <c r="BY65" i="11"/>
  <c r="BY64" i="11"/>
  <c r="BY63" i="11"/>
  <c r="BY62" i="11"/>
  <c r="BY61" i="11"/>
  <c r="BY60" i="11"/>
  <c r="BY59" i="11"/>
  <c r="BY58" i="11"/>
  <c r="BY57" i="11"/>
  <c r="BY56" i="11"/>
  <c r="BY55" i="11"/>
  <c r="BY54" i="11"/>
  <c r="BY53" i="11"/>
  <c r="BY52" i="11"/>
  <c r="BY51" i="11"/>
  <c r="BY50" i="11"/>
  <c r="BY49" i="11"/>
  <c r="BY48" i="11"/>
  <c r="BY47" i="11"/>
  <c r="BY46" i="11"/>
  <c r="BY45" i="11"/>
  <c r="BY44" i="11"/>
  <c r="BY43" i="11"/>
  <c r="BY42" i="11"/>
  <c r="BY41" i="11"/>
  <c r="BY40" i="11"/>
  <c r="BY39" i="11"/>
  <c r="BY38" i="11"/>
  <c r="BY37" i="11"/>
  <c r="BY36" i="11"/>
  <c r="BY35" i="11"/>
  <c r="BY34" i="11"/>
  <c r="BY33" i="11"/>
  <c r="BY32" i="11"/>
  <c r="BY31" i="11"/>
  <c r="BY30" i="11"/>
  <c r="BY29" i="11"/>
  <c r="BY28" i="11"/>
  <c r="BY27" i="11"/>
  <c r="BY26" i="11"/>
  <c r="BY25" i="11"/>
  <c r="BY24" i="11"/>
  <c r="BY23" i="11"/>
  <c r="BY22" i="11"/>
  <c r="BY21" i="11"/>
  <c r="BY20" i="11"/>
  <c r="BY19" i="11"/>
  <c r="BY18" i="11"/>
  <c r="BY17" i="11"/>
  <c r="BY16" i="11"/>
  <c r="BY15" i="11"/>
  <c r="BY14" i="11"/>
  <c r="BY13" i="11"/>
  <c r="BY12" i="11"/>
  <c r="BW63" i="11"/>
  <c r="BW62" i="11" s="1"/>
  <c r="BW61" i="11" s="1"/>
  <c r="BW60" i="11" s="1"/>
  <c r="BW59" i="11" s="1"/>
  <c r="BW58" i="11" s="1"/>
  <c r="BW57" i="11" s="1"/>
  <c r="BW56" i="11" s="1"/>
  <c r="BW55" i="11" s="1"/>
  <c r="BW54" i="11" s="1"/>
  <c r="BW53" i="11" s="1"/>
  <c r="BW52" i="11" s="1"/>
  <c r="BW51" i="11" s="1"/>
  <c r="BW50" i="11" s="1"/>
  <c r="BW49" i="11" s="1"/>
  <c r="BW48" i="11" s="1"/>
  <c r="BW47" i="11" s="1"/>
  <c r="BW46" i="11" s="1"/>
  <c r="BW45" i="11" s="1"/>
  <c r="BW44" i="11" s="1"/>
  <c r="BW43" i="11" s="1"/>
  <c r="BW42" i="11" s="1"/>
  <c r="BW41" i="11" s="1"/>
  <c r="BW40" i="11" s="1"/>
  <c r="BW39" i="11" s="1"/>
  <c r="BW38" i="11" s="1"/>
  <c r="BW37" i="11" s="1"/>
  <c r="BW36" i="11" s="1"/>
  <c r="BW35" i="11" s="1"/>
  <c r="BW34" i="11" s="1"/>
  <c r="BW33" i="11" s="1"/>
  <c r="BW32" i="11" s="1"/>
  <c r="BW31" i="11" s="1"/>
  <c r="BW30" i="11" s="1"/>
  <c r="BW29" i="11" s="1"/>
  <c r="BW28" i="11" s="1"/>
  <c r="BW27" i="11" s="1"/>
  <c r="BW26" i="11" s="1"/>
  <c r="BW25" i="11" s="1"/>
  <c r="BW24" i="11" s="1"/>
  <c r="BW23" i="11" s="1"/>
  <c r="BW22" i="11" s="1"/>
  <c r="BW21" i="11" s="1"/>
  <c r="BW20" i="11" s="1"/>
  <c r="BW19" i="11" s="1"/>
  <c r="BW18" i="11" s="1"/>
  <c r="BW17" i="11" s="1"/>
  <c r="BW16" i="11" s="1"/>
  <c r="BW15" i="11" s="1"/>
  <c r="BW14" i="11" s="1"/>
  <c r="BW13" i="11" s="1"/>
  <c r="BW64" i="11"/>
  <c r="BW65" i="11"/>
  <c r="BW66" i="11"/>
  <c r="BW67" i="11"/>
  <c r="BW68" i="11"/>
  <c r="BW69" i="11"/>
  <c r="BW70" i="11"/>
  <c r="BW71" i="11"/>
  <c r="BW72" i="11"/>
  <c r="BW73" i="11"/>
  <c r="BU95" i="11"/>
  <c r="BS95" i="11"/>
  <c r="BQ95" i="11"/>
  <c r="AC92" i="1" l="1"/>
  <c r="AF93" i="1"/>
  <c r="S93" i="1"/>
  <c r="E91" i="4" s="1"/>
  <c r="C100" i="4"/>
  <c r="AC91" i="1"/>
  <c r="AF91" i="1" l="1"/>
  <c r="S91" i="1"/>
  <c r="E89" i="4" s="1"/>
  <c r="J93" i="1"/>
  <c r="S92" i="1"/>
  <c r="E90" i="4" s="1"/>
  <c r="AF92" i="1"/>
  <c r="AC90" i="1"/>
  <c r="AF90" i="1" l="1"/>
  <c r="J91" i="1"/>
  <c r="S90" i="1"/>
  <c r="E88" i="4" s="1"/>
  <c r="AC89" i="1"/>
  <c r="AF89" i="1" l="1"/>
  <c r="S89" i="1"/>
  <c r="E87" i="4" s="1"/>
  <c r="AC88" i="1"/>
  <c r="AF88" i="1" l="1"/>
  <c r="J89" i="1"/>
  <c r="S88" i="1"/>
  <c r="E86" i="4" s="1"/>
  <c r="AC87" i="1"/>
  <c r="AF87" i="1" l="1"/>
  <c r="S87" i="1"/>
  <c r="E85" i="4" s="1"/>
  <c r="AC86" i="1"/>
  <c r="AF86" i="1" l="1"/>
  <c r="J87" i="1"/>
  <c r="S86" i="1"/>
  <c r="E84" i="4" s="1"/>
  <c r="AC85" i="1"/>
  <c r="AF85" i="1" l="1"/>
  <c r="S85" i="1"/>
  <c r="E83" i="4" s="1"/>
  <c r="AC84" i="1"/>
  <c r="AF84" i="1" l="1"/>
  <c r="J85" i="1"/>
  <c r="S84" i="1"/>
  <c r="E82" i="4" s="1"/>
  <c r="AC83" i="1"/>
  <c r="AF83" i="1" l="1"/>
  <c r="S83" i="1"/>
  <c r="E81" i="4" s="1"/>
  <c r="AC82" i="1"/>
  <c r="AF82" i="1" l="1"/>
  <c r="J83" i="1"/>
  <c r="S82" i="1"/>
  <c r="E80" i="4" s="1"/>
  <c r="AC81" i="1"/>
  <c r="AF81" i="1" l="1"/>
  <c r="S81" i="1"/>
  <c r="E79" i="4" s="1"/>
  <c r="AC80" i="1"/>
  <c r="AF80" i="1" l="1"/>
  <c r="J81" i="1"/>
  <c r="S80" i="1"/>
  <c r="E78" i="4" s="1"/>
  <c r="AC79" i="1"/>
  <c r="AF79" i="1" l="1"/>
  <c r="S79" i="1"/>
  <c r="E77" i="4" s="1"/>
  <c r="AC78" i="1"/>
  <c r="AF78" i="1" l="1"/>
  <c r="J79" i="1"/>
  <c r="S78" i="1"/>
  <c r="E76" i="4" s="1"/>
  <c r="AC77" i="1"/>
  <c r="AF77" i="1" l="1"/>
  <c r="S77" i="1"/>
  <c r="E75" i="4" s="1"/>
  <c r="AC76" i="1"/>
  <c r="AF76" i="1" l="1"/>
  <c r="J77" i="1"/>
  <c r="S76" i="1"/>
  <c r="E74" i="4" s="1"/>
  <c r="AC75" i="1"/>
  <c r="AF75" i="1" l="1"/>
  <c r="S75" i="1"/>
  <c r="E73" i="4" s="1"/>
  <c r="AC74" i="1"/>
  <c r="AF74" i="1" l="1"/>
  <c r="J75" i="1"/>
  <c r="S74" i="1"/>
  <c r="E72" i="4" s="1"/>
  <c r="AC73" i="1"/>
  <c r="G71" i="9" l="1"/>
  <c r="AF73" i="1"/>
  <c r="S73" i="1"/>
  <c r="E71" i="4" s="1"/>
  <c r="AC72" i="1"/>
  <c r="G70" i="9" l="1"/>
  <c r="AF72" i="1"/>
  <c r="J73" i="1"/>
  <c r="S72" i="1"/>
  <c r="E70" i="4" s="1"/>
  <c r="M71" i="9"/>
  <c r="AC71" i="1"/>
  <c r="G69" i="9" l="1"/>
  <c r="AF71" i="1"/>
  <c r="S71" i="1"/>
  <c r="E69" i="4" s="1"/>
  <c r="M70" i="9"/>
  <c r="AC70" i="1"/>
  <c r="G68" i="9" l="1"/>
  <c r="J71" i="1"/>
  <c r="S70" i="1"/>
  <c r="E68" i="4" s="1"/>
  <c r="AF70" i="1"/>
  <c r="M69" i="9"/>
  <c r="AC69" i="1"/>
  <c r="G67" i="9" l="1"/>
  <c r="AF69" i="1"/>
  <c r="S69" i="1"/>
  <c r="E67" i="4" s="1"/>
  <c r="M68" i="9"/>
  <c r="AC68" i="1"/>
  <c r="G66" i="9" l="1"/>
  <c r="AF68" i="1"/>
  <c r="J69" i="1"/>
  <c r="S68" i="1"/>
  <c r="E66" i="4" s="1"/>
  <c r="M67" i="9"/>
  <c r="AC67" i="1"/>
  <c r="G65" i="9" l="1"/>
  <c r="AF67" i="1"/>
  <c r="S67" i="1"/>
  <c r="E65" i="4" s="1"/>
  <c r="M66" i="9"/>
  <c r="AC66" i="1"/>
  <c r="G64" i="9" l="1"/>
  <c r="AF66" i="1"/>
  <c r="J67" i="1"/>
  <c r="S66" i="1"/>
  <c r="E64" i="4" s="1"/>
  <c r="M65" i="9"/>
  <c r="AC65" i="1"/>
  <c r="AF65" i="1" l="1"/>
  <c r="G63" i="9"/>
  <c r="S65" i="1"/>
  <c r="E63" i="4" s="1"/>
  <c r="M64" i="9"/>
  <c r="AC64" i="1"/>
  <c r="G62" i="9" l="1"/>
  <c r="AF64" i="1"/>
  <c r="J65" i="1"/>
  <c r="S64" i="1"/>
  <c r="E62" i="4" s="1"/>
  <c r="M63" i="9"/>
  <c r="AC63" i="1"/>
  <c r="M62" i="9" l="1"/>
  <c r="G61" i="9"/>
  <c r="AF63" i="1"/>
  <c r="S63" i="1"/>
  <c r="E61" i="4" s="1"/>
  <c r="AC62" i="1"/>
  <c r="G60" i="9" l="1"/>
  <c r="AF62" i="1"/>
  <c r="J63" i="1"/>
  <c r="S62" i="1"/>
  <c r="E60" i="4" s="1"/>
  <c r="M61" i="9"/>
  <c r="AC61" i="1"/>
  <c r="G59" i="9" l="1"/>
  <c r="AF61" i="1"/>
  <c r="S61" i="1"/>
  <c r="E59" i="4" s="1"/>
  <c r="M60" i="9"/>
  <c r="AC60" i="1"/>
  <c r="G58" i="9" l="1"/>
  <c r="AF60" i="1"/>
  <c r="J61" i="1"/>
  <c r="S60" i="1"/>
  <c r="E58" i="4" s="1"/>
  <c r="M59" i="9"/>
  <c r="AC59" i="1"/>
  <c r="G57" i="9" l="1"/>
  <c r="AF59" i="1"/>
  <c r="S59" i="1"/>
  <c r="E57" i="4" s="1"/>
  <c r="M58" i="9"/>
  <c r="AC58" i="1"/>
  <c r="G56" i="9" l="1"/>
  <c r="AF58" i="1"/>
  <c r="J59" i="1"/>
  <c r="S58" i="1"/>
  <c r="E56" i="4" s="1"/>
  <c r="M57" i="9"/>
  <c r="AC57" i="1"/>
  <c r="AF57" i="1" l="1"/>
  <c r="G55" i="9"/>
  <c r="M56" i="9"/>
  <c r="AC56" i="1"/>
  <c r="G54" i="9" l="1"/>
  <c r="AF56" i="1"/>
  <c r="M55" i="9"/>
  <c r="AC55" i="1"/>
  <c r="G53" i="9" l="1"/>
  <c r="AF55" i="1"/>
  <c r="M54" i="9"/>
  <c r="AC54" i="1"/>
  <c r="G52" i="9" l="1"/>
  <c r="AF54" i="1"/>
  <c r="M53" i="9"/>
  <c r="AC53" i="1"/>
  <c r="G51" i="9" l="1"/>
  <c r="AF53" i="1"/>
  <c r="M52" i="9"/>
  <c r="AC52" i="1"/>
  <c r="G50" i="9" l="1"/>
  <c r="AF52" i="1"/>
  <c r="M51" i="9"/>
  <c r="AC51" i="1"/>
  <c r="AF51" i="1" l="1"/>
  <c r="G49" i="9"/>
  <c r="M50" i="9"/>
  <c r="AC50" i="1"/>
  <c r="G48" i="9" l="1"/>
  <c r="AF50" i="1"/>
  <c r="M49" i="9"/>
  <c r="AC49" i="1"/>
  <c r="G47" i="9" l="1"/>
  <c r="AF49" i="1"/>
  <c r="M48" i="9"/>
  <c r="AC48" i="1"/>
  <c r="G46" i="9" l="1"/>
  <c r="AF48" i="1"/>
  <c r="M47" i="9"/>
  <c r="AC47" i="1"/>
  <c r="G45" i="9" l="1"/>
  <c r="AF47" i="1"/>
  <c r="AC46" i="1"/>
  <c r="G44" i="9" l="1"/>
  <c r="AF46" i="1"/>
  <c r="AC45" i="1"/>
  <c r="G43" i="9" l="1"/>
  <c r="AF45" i="1"/>
  <c r="AC44" i="1"/>
  <c r="G42" i="9" l="1"/>
  <c r="AF44" i="1"/>
  <c r="AC43" i="1"/>
  <c r="AF43" i="1" l="1"/>
  <c r="G41" i="9"/>
  <c r="AC42" i="1"/>
  <c r="G40" i="9" l="1"/>
  <c r="AF42" i="1"/>
  <c r="AC41" i="1"/>
  <c r="G39" i="9" l="1"/>
  <c r="AF41" i="1"/>
  <c r="AC40" i="1"/>
  <c r="G38" i="9" l="1"/>
  <c r="AF40" i="1"/>
  <c r="AC39" i="1"/>
  <c r="G37" i="9" l="1"/>
  <c r="AF39" i="1"/>
  <c r="AC38" i="1"/>
  <c r="G36" i="9" l="1"/>
  <c r="AF38" i="1"/>
  <c r="AC37" i="1"/>
  <c r="G35" i="9" l="1"/>
  <c r="AF37" i="1"/>
  <c r="AC36" i="1"/>
  <c r="G34" i="9" l="1"/>
  <c r="AF36" i="1"/>
  <c r="AC35" i="1"/>
  <c r="AF35" i="1" l="1"/>
  <c r="G33" i="9"/>
  <c r="AC34" i="1"/>
  <c r="G32" i="9" l="1"/>
  <c r="AF34" i="1"/>
  <c r="AC33" i="1"/>
  <c r="G31" i="9" l="1"/>
  <c r="AF33" i="1"/>
  <c r="AC32" i="1"/>
  <c r="G30" i="9" l="1"/>
  <c r="AF32" i="1"/>
  <c r="AC31" i="1"/>
  <c r="G29" i="9" l="1"/>
  <c r="AF31" i="1"/>
  <c r="AC30" i="1"/>
  <c r="G28" i="9" l="1"/>
  <c r="AF30" i="1"/>
  <c r="AC29" i="1"/>
  <c r="G27" i="9" l="1"/>
  <c r="AF29" i="1"/>
  <c r="AC28" i="1"/>
  <c r="G26" i="9" l="1"/>
  <c r="AF28" i="1"/>
  <c r="AC27" i="1"/>
  <c r="AF27" i="1" l="1"/>
  <c r="G25" i="9"/>
  <c r="AC26" i="1"/>
  <c r="G24" i="9" l="1"/>
  <c r="AF26" i="1"/>
  <c r="AC25" i="1"/>
  <c r="G23" i="9" l="1"/>
  <c r="AF25" i="1"/>
  <c r="AC24" i="1"/>
  <c r="G22" i="9" l="1"/>
  <c r="AF24" i="1"/>
  <c r="AC23" i="1"/>
  <c r="G21" i="9" l="1"/>
  <c r="AF23" i="1"/>
  <c r="AC22" i="1"/>
  <c r="G20" i="9" l="1"/>
  <c r="AF22" i="1"/>
  <c r="AC21" i="1"/>
  <c r="G19" i="9" l="1"/>
  <c r="AF21" i="1"/>
  <c r="AC20" i="1"/>
  <c r="G18" i="9" l="1"/>
  <c r="AF20" i="1"/>
  <c r="AC19" i="1"/>
  <c r="AF19" i="1" l="1"/>
  <c r="G17" i="9"/>
  <c r="AC18" i="1"/>
  <c r="G16" i="9" l="1"/>
  <c r="AF18" i="1"/>
  <c r="AC17" i="1"/>
  <c r="G15" i="9" l="1"/>
  <c r="AF17" i="1"/>
  <c r="AC16" i="1"/>
  <c r="G14" i="9" l="1"/>
  <c r="AF16" i="1"/>
  <c r="AC15" i="1"/>
  <c r="G13" i="9" l="1"/>
  <c r="AF15" i="1"/>
  <c r="AC14" i="1"/>
  <c r="G12" i="9" l="1"/>
  <c r="AF14" i="1"/>
  <c r="AC95" i="1"/>
  <c r="E100" i="4" s="1"/>
  <c r="AF95" i="1" l="1"/>
  <c r="K100" i="4" s="1"/>
  <c r="Q93" i="11" l="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P53" i="11"/>
  <c r="O53" i="11" s="1"/>
  <c r="O52" i="11" s="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3" i="11"/>
  <c r="P30" i="11"/>
  <c r="P28" i="11"/>
  <c r="P26" i="11"/>
  <c r="P24" i="11"/>
  <c r="O22" i="11"/>
  <c r="O21" i="11"/>
  <c r="O20" i="11" s="1"/>
  <c r="O19" i="11" s="1"/>
  <c r="O18" i="11" s="1"/>
  <c r="O17" i="11" s="1"/>
  <c r="O16" i="11" s="1"/>
  <c r="O15" i="11" s="1"/>
  <c r="O14" i="11" s="1"/>
  <c r="G93" i="11"/>
  <c r="F93" i="11"/>
  <c r="I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2" i="11"/>
  <c r="G31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M95" i="11"/>
  <c r="Q95" i="11" l="1"/>
  <c r="O49" i="11"/>
  <c r="O48" i="11" s="1"/>
  <c r="O47" i="11" s="1"/>
  <c r="O46" i="11" s="1"/>
  <c r="O45" i="11" s="1"/>
  <c r="O44" i="11" s="1"/>
  <c r="O43" i="11" s="1"/>
  <c r="O42" i="11" s="1"/>
  <c r="O41" i="11" s="1"/>
  <c r="O40" i="11" s="1"/>
  <c r="O39" i="11" s="1"/>
  <c r="O38" i="11" s="1"/>
  <c r="O37" i="11" s="1"/>
  <c r="O36" i="11" s="1"/>
  <c r="O35" i="11" s="1"/>
  <c r="O34" i="11" s="1"/>
  <c r="O33" i="11" s="1"/>
  <c r="O32" i="11" s="1"/>
  <c r="O31" i="11" s="1"/>
  <c r="O30" i="11" s="1"/>
  <c r="O29" i="11" s="1"/>
  <c r="O28" i="11" s="1"/>
  <c r="O27" i="11" s="1"/>
  <c r="O26" i="11" s="1"/>
  <c r="O25" i="11" s="1"/>
  <c r="O24" i="11" s="1"/>
  <c r="O51" i="11"/>
  <c r="O50" i="11" s="1"/>
  <c r="I74" i="11"/>
  <c r="I78" i="11"/>
  <c r="I82" i="11"/>
  <c r="I86" i="11"/>
  <c r="I90" i="11"/>
  <c r="I77" i="11"/>
  <c r="I81" i="11"/>
  <c r="I85" i="11"/>
  <c r="I89" i="11"/>
  <c r="G30" i="11"/>
  <c r="I76" i="11"/>
  <c r="I80" i="11"/>
  <c r="I84" i="11"/>
  <c r="I88" i="11"/>
  <c r="I92" i="11"/>
  <c r="P95" i="11"/>
  <c r="G33" i="11"/>
  <c r="I75" i="11"/>
  <c r="I79" i="11"/>
  <c r="I83" i="11"/>
  <c r="I87" i="11"/>
  <c r="I91" i="11"/>
  <c r="A195" i="15"/>
  <c r="C3" i="4" l="1"/>
  <c r="C1" i="3"/>
  <c r="C1" i="4" s="1"/>
  <c r="A1" i="9"/>
  <c r="G183" i="15" l="1"/>
  <c r="G182" i="15"/>
  <c r="G174" i="15"/>
  <c r="G165" i="15"/>
  <c r="G155" i="15"/>
  <c r="G147" i="15"/>
  <c r="G146" i="15"/>
  <c r="G138" i="15"/>
  <c r="G137" i="15"/>
  <c r="G129" i="15"/>
  <c r="G128" i="15"/>
  <c r="G119" i="15"/>
  <c r="G110" i="15"/>
  <c r="G101" i="15"/>
  <c r="G84" i="15"/>
  <c r="G83" i="15"/>
  <c r="G75" i="15"/>
  <c r="G74" i="15"/>
  <c r="G66" i="15"/>
  <c r="G65" i="15"/>
  <c r="G48" i="15"/>
  <c r="G47" i="15"/>
  <c r="G38" i="15"/>
  <c r="G39" i="15"/>
  <c r="G164" i="15"/>
  <c r="G173" i="15"/>
  <c r="G21" i="15"/>
  <c r="G92" i="15"/>
  <c r="G111" i="15"/>
  <c r="G56" i="15"/>
  <c r="G93" i="15"/>
  <c r="G57" i="15"/>
  <c r="G102" i="15"/>
  <c r="G120" i="15"/>
  <c r="G30" i="15"/>
  <c r="G29" i="15"/>
  <c r="M12" i="9"/>
  <c r="K35" i="14"/>
  <c r="I41" i="14"/>
  <c r="I43" i="14"/>
  <c r="I33" i="13"/>
  <c r="K49" i="13" s="1"/>
  <c r="K44" i="12"/>
  <c r="K40" i="12"/>
  <c r="K28" i="12"/>
  <c r="A14" i="1"/>
  <c r="A11" i="3"/>
  <c r="C91" i="3"/>
  <c r="C90" i="3"/>
  <c r="C88" i="3"/>
  <c r="C87" i="3"/>
  <c r="C86" i="3"/>
  <c r="C84" i="3"/>
  <c r="C83" i="3"/>
  <c r="C82" i="3"/>
  <c r="C80" i="3"/>
  <c r="C79" i="3"/>
  <c r="C78" i="3"/>
  <c r="C76" i="3"/>
  <c r="C75" i="3"/>
  <c r="C74" i="3"/>
  <c r="C72" i="3"/>
  <c r="C71" i="3"/>
  <c r="C70" i="3"/>
  <c r="C68" i="3"/>
  <c r="I67" i="3"/>
  <c r="C67" i="3"/>
  <c r="G66" i="3"/>
  <c r="E66" i="3"/>
  <c r="I65" i="3"/>
  <c r="G65" i="3"/>
  <c r="E65" i="3"/>
  <c r="I64" i="3"/>
  <c r="G64" i="3"/>
  <c r="C64" i="3"/>
  <c r="I63" i="3"/>
  <c r="E63" i="3"/>
  <c r="C63" i="3"/>
  <c r="G62" i="3"/>
  <c r="E62" i="3"/>
  <c r="C62" i="3"/>
  <c r="I61" i="3"/>
  <c r="G61" i="3"/>
  <c r="E61" i="3"/>
  <c r="I60" i="3"/>
  <c r="G60" i="3"/>
  <c r="C60" i="3"/>
  <c r="I59" i="3"/>
  <c r="E59" i="3"/>
  <c r="C59" i="3"/>
  <c r="G58" i="3"/>
  <c r="C58" i="3"/>
  <c r="I57" i="3"/>
  <c r="G57" i="3"/>
  <c r="E57" i="3"/>
  <c r="G56" i="3"/>
  <c r="C56" i="3"/>
  <c r="I55" i="3"/>
  <c r="G55" i="3"/>
  <c r="C55" i="3"/>
  <c r="I54" i="3"/>
  <c r="G54" i="3"/>
  <c r="I53" i="3"/>
  <c r="G53" i="3"/>
  <c r="C53" i="3"/>
  <c r="G52" i="3"/>
  <c r="C52" i="3"/>
  <c r="I51" i="3"/>
  <c r="I50" i="3"/>
  <c r="C50" i="3"/>
  <c r="I49" i="3"/>
  <c r="I48" i="3"/>
  <c r="C48" i="3"/>
  <c r="I47" i="3"/>
  <c r="I46" i="3"/>
  <c r="C46" i="3"/>
  <c r="I45" i="3"/>
  <c r="I44" i="3"/>
  <c r="C44" i="3"/>
  <c r="I43" i="3"/>
  <c r="I42" i="3"/>
  <c r="C42" i="3"/>
  <c r="I41" i="3"/>
  <c r="I40" i="3"/>
  <c r="C40" i="3"/>
  <c r="I39" i="3"/>
  <c r="I38" i="3"/>
  <c r="C38" i="3"/>
  <c r="I37" i="3"/>
  <c r="I36" i="3"/>
  <c r="C36" i="3"/>
  <c r="I35" i="3"/>
  <c r="I34" i="3"/>
  <c r="C34" i="3"/>
  <c r="I33" i="3"/>
  <c r="I32" i="3"/>
  <c r="G32" i="3"/>
  <c r="C32" i="3"/>
  <c r="C31" i="3"/>
  <c r="I30" i="3"/>
  <c r="G30" i="3"/>
  <c r="I29" i="3"/>
  <c r="G29" i="3"/>
  <c r="C28" i="3"/>
  <c r="G27" i="3"/>
  <c r="I26" i="3"/>
  <c r="C26" i="3"/>
  <c r="I25" i="3"/>
  <c r="G25" i="3"/>
  <c r="C25" i="3"/>
  <c r="I24" i="3"/>
  <c r="C24" i="3"/>
  <c r="G23" i="3"/>
  <c r="C23" i="3"/>
  <c r="I22" i="3"/>
  <c r="I21" i="3"/>
  <c r="G21" i="3"/>
  <c r="C21" i="3"/>
  <c r="G20" i="3"/>
  <c r="C20" i="3"/>
  <c r="I19" i="3"/>
  <c r="G19" i="3"/>
  <c r="C19" i="3"/>
  <c r="I18" i="3"/>
  <c r="G18" i="3"/>
  <c r="I17" i="3"/>
  <c r="G17" i="3"/>
  <c r="C17" i="3"/>
  <c r="G16" i="3"/>
  <c r="C16" i="3"/>
  <c r="I15" i="3"/>
  <c r="G15" i="3"/>
  <c r="I14" i="3"/>
  <c r="G14" i="3"/>
  <c r="I13" i="3"/>
  <c r="G13" i="3"/>
  <c r="C13" i="3"/>
  <c r="G12" i="3"/>
  <c r="C12" i="3"/>
  <c r="I10" i="3"/>
  <c r="G10" i="3"/>
  <c r="I11" i="3"/>
  <c r="G11" i="3"/>
  <c r="FD93" i="1"/>
  <c r="FD92" i="1"/>
  <c r="FD91" i="1"/>
  <c r="FD90" i="1"/>
  <c r="FD89" i="1"/>
  <c r="FD88" i="1"/>
  <c r="FD87" i="1"/>
  <c r="FD86" i="1"/>
  <c r="FD85" i="1"/>
  <c r="FD84" i="1"/>
  <c r="FD83" i="1"/>
  <c r="FD82" i="1"/>
  <c r="FD81" i="1"/>
  <c r="FD80" i="1"/>
  <c r="FD79" i="1"/>
  <c r="FD78" i="1"/>
  <c r="FD77" i="1"/>
  <c r="FD76" i="1"/>
  <c r="FD75" i="1"/>
  <c r="FD74" i="1"/>
  <c r="FD73" i="1"/>
  <c r="FD72" i="1"/>
  <c r="FD71" i="1"/>
  <c r="FD70" i="1"/>
  <c r="FD69" i="1"/>
  <c r="FD68" i="1"/>
  <c r="FD67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7" i="1"/>
  <c r="FD46" i="1"/>
  <c r="FD45" i="1"/>
  <c r="FD44" i="1"/>
  <c r="FD43" i="1"/>
  <c r="FD42" i="1"/>
  <c r="FD41" i="1"/>
  <c r="FD40" i="1"/>
  <c r="FD39" i="1"/>
  <c r="FD38" i="1"/>
  <c r="FD37" i="1"/>
  <c r="FD36" i="1"/>
  <c r="FD35" i="1"/>
  <c r="FD34" i="1"/>
  <c r="FD33" i="1"/>
  <c r="FD32" i="1"/>
  <c r="FD31" i="1"/>
  <c r="FD30" i="1"/>
  <c r="FD29" i="1"/>
  <c r="FD28" i="1"/>
  <c r="FD27" i="1"/>
  <c r="FD26" i="1"/>
  <c r="FD25" i="1"/>
  <c r="FD24" i="1"/>
  <c r="FD23" i="1"/>
  <c r="FD22" i="1"/>
  <c r="FD21" i="1"/>
  <c r="FD20" i="1"/>
  <c r="FD19" i="1"/>
  <c r="FD18" i="1"/>
  <c r="FD17" i="1"/>
  <c r="FD16" i="1"/>
  <c r="FD15" i="1"/>
  <c r="FD14" i="1"/>
  <c r="FD13" i="1"/>
  <c r="FD12" i="1"/>
  <c r="EW93" i="1"/>
  <c r="EW92" i="1"/>
  <c r="EW91" i="1"/>
  <c r="EW90" i="1"/>
  <c r="EW89" i="1"/>
  <c r="EW88" i="1"/>
  <c r="EW87" i="1"/>
  <c r="EW86" i="1"/>
  <c r="EW85" i="1"/>
  <c r="EW84" i="1"/>
  <c r="EW83" i="1"/>
  <c r="EW82" i="1"/>
  <c r="EW81" i="1"/>
  <c r="EW80" i="1"/>
  <c r="EW79" i="1"/>
  <c r="EW78" i="1"/>
  <c r="EW77" i="1"/>
  <c r="EW76" i="1"/>
  <c r="EW75" i="1"/>
  <c r="EW74" i="1"/>
  <c r="EW73" i="1"/>
  <c r="EW72" i="1"/>
  <c r="EW71" i="1"/>
  <c r="EW70" i="1"/>
  <c r="EW69" i="1"/>
  <c r="EW68" i="1"/>
  <c r="EW67" i="1"/>
  <c r="EW66" i="1"/>
  <c r="EW65" i="1"/>
  <c r="EW64" i="1"/>
  <c r="EW63" i="1"/>
  <c r="EW62" i="1"/>
  <c r="EW61" i="1"/>
  <c r="EW60" i="1"/>
  <c r="EW59" i="1"/>
  <c r="EW58" i="1"/>
  <c r="EW57" i="1"/>
  <c r="EW56" i="1"/>
  <c r="EW55" i="1"/>
  <c r="EW54" i="1"/>
  <c r="EW53" i="1"/>
  <c r="EW52" i="1"/>
  <c r="EW51" i="1"/>
  <c r="EW50" i="1"/>
  <c r="EW49" i="1"/>
  <c r="EW48" i="1"/>
  <c r="EW47" i="1"/>
  <c r="EW46" i="1"/>
  <c r="EW45" i="1"/>
  <c r="EW44" i="1"/>
  <c r="EW43" i="1"/>
  <c r="EW42" i="1"/>
  <c r="EW41" i="1"/>
  <c r="EW40" i="1"/>
  <c r="EW39" i="1"/>
  <c r="EW38" i="1"/>
  <c r="EW37" i="1"/>
  <c r="EW36" i="1"/>
  <c r="EW35" i="1"/>
  <c r="EW34" i="1"/>
  <c r="EW33" i="1"/>
  <c r="EW32" i="1"/>
  <c r="EW31" i="1"/>
  <c r="EW30" i="1"/>
  <c r="EW29" i="1"/>
  <c r="EW28" i="1"/>
  <c r="EW27" i="1"/>
  <c r="EW26" i="1"/>
  <c r="EW25" i="1"/>
  <c r="EW24" i="1"/>
  <c r="EW23" i="1"/>
  <c r="EW22" i="1"/>
  <c r="EW21" i="1"/>
  <c r="EW20" i="1"/>
  <c r="EW19" i="1"/>
  <c r="EW18" i="1"/>
  <c r="EW17" i="1"/>
  <c r="EW16" i="1"/>
  <c r="EW15" i="1"/>
  <c r="EW14" i="1"/>
  <c r="EW13" i="1"/>
  <c r="EW12" i="1"/>
  <c r="EP93" i="1"/>
  <c r="EP92" i="1"/>
  <c r="EP91" i="1"/>
  <c r="EP90" i="1"/>
  <c r="EP89" i="1"/>
  <c r="EP88" i="1"/>
  <c r="EP87" i="1"/>
  <c r="EP86" i="1"/>
  <c r="EP85" i="1"/>
  <c r="EP84" i="1"/>
  <c r="EP83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P70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P57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P44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8" i="1"/>
  <c r="EP17" i="1"/>
  <c r="EP16" i="1"/>
  <c r="EP15" i="1"/>
  <c r="EP14" i="1"/>
  <c r="EP13" i="1"/>
  <c r="EP12" i="1"/>
  <c r="EI12" i="1"/>
  <c r="EB93" i="1"/>
  <c r="EB92" i="1"/>
  <c r="EB91" i="1"/>
  <c r="EB90" i="1"/>
  <c r="EB89" i="1"/>
  <c r="EB88" i="1"/>
  <c r="EB87" i="1"/>
  <c r="EB86" i="1"/>
  <c r="EB85" i="1"/>
  <c r="EB84" i="1"/>
  <c r="EB83" i="1"/>
  <c r="EB82" i="1"/>
  <c r="EB81" i="1"/>
  <c r="EB80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7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7" i="1"/>
  <c r="EB46" i="1"/>
  <c r="EB45" i="1"/>
  <c r="EB44" i="1"/>
  <c r="EB43" i="1"/>
  <c r="EB42" i="1"/>
  <c r="EB41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8" i="1"/>
  <c r="EB27" i="1"/>
  <c r="EB26" i="1"/>
  <c r="EB25" i="1"/>
  <c r="EB24" i="1"/>
  <c r="EB23" i="1"/>
  <c r="EB22" i="1"/>
  <c r="EB21" i="1"/>
  <c r="EB20" i="1"/>
  <c r="EB19" i="1"/>
  <c r="EB18" i="1"/>
  <c r="EB17" i="1"/>
  <c r="EB16" i="1"/>
  <c r="EB15" i="1"/>
  <c r="EB14" i="1"/>
  <c r="EB13" i="1"/>
  <c r="EB12" i="1"/>
  <c r="DV93" i="1"/>
  <c r="DV92" i="1"/>
  <c r="DV91" i="1"/>
  <c r="DV90" i="1"/>
  <c r="DV89" i="1"/>
  <c r="DV88" i="1"/>
  <c r="DV87" i="1"/>
  <c r="DV86" i="1"/>
  <c r="DV85" i="1"/>
  <c r="DV84" i="1"/>
  <c r="DV83" i="1"/>
  <c r="DV82" i="1"/>
  <c r="DV81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6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C93" i="1"/>
  <c r="DC92" i="1"/>
  <c r="DC91" i="1"/>
  <c r="DC90" i="1"/>
  <c r="DC89" i="1"/>
  <c r="DC88" i="1"/>
  <c r="DC87" i="1"/>
  <c r="DC86" i="1"/>
  <c r="DC85" i="1"/>
  <c r="DC84" i="1"/>
  <c r="DC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C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C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C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C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95" i="1" s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95" i="1" s="1"/>
  <c r="CV13" i="1"/>
  <c r="CV12" i="1"/>
  <c r="CP93" i="1"/>
  <c r="CP92" i="1"/>
  <c r="CP91" i="1"/>
  <c r="CP90" i="1"/>
  <c r="CP89" i="1"/>
  <c r="CP88" i="1"/>
  <c r="CP87" i="1"/>
  <c r="CP86" i="1"/>
  <c r="CP85" i="1"/>
  <c r="CP84" i="1"/>
  <c r="CP83" i="1"/>
  <c r="CP82" i="1"/>
  <c r="CP81" i="1"/>
  <c r="CP80" i="1"/>
  <c r="CP79" i="1"/>
  <c r="CP78" i="1"/>
  <c r="CP77" i="1"/>
  <c r="CP76" i="1"/>
  <c r="CP75" i="1"/>
  <c r="CP74" i="1"/>
  <c r="CP73" i="1"/>
  <c r="CP72" i="1"/>
  <c r="CP71" i="1"/>
  <c r="CP70" i="1"/>
  <c r="CP69" i="1"/>
  <c r="CP68" i="1"/>
  <c r="CP67" i="1"/>
  <c r="CP66" i="1"/>
  <c r="CP65" i="1"/>
  <c r="CP64" i="1"/>
  <c r="CP63" i="1"/>
  <c r="CP62" i="1"/>
  <c r="CP61" i="1"/>
  <c r="CP60" i="1"/>
  <c r="CP59" i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BV93" i="1"/>
  <c r="BV92" i="1"/>
  <c r="BV91" i="1"/>
  <c r="BV90" i="1"/>
  <c r="BV89" i="1"/>
  <c r="BV88" i="1"/>
  <c r="BV87" i="1"/>
  <c r="BV86" i="1"/>
  <c r="BV85" i="1"/>
  <c r="BV84" i="1"/>
  <c r="BV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V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95" i="1" s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95" i="1" s="1"/>
  <c r="BC13" i="1"/>
  <c r="BC12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95" i="1" s="1"/>
  <c r="BU57" i="1"/>
  <c r="S57" i="1" s="1"/>
  <c r="E55" i="4" s="1"/>
  <c r="EI93" i="1"/>
  <c r="EI92" i="1"/>
  <c r="EI91" i="1"/>
  <c r="EI90" i="1"/>
  <c r="EI89" i="1"/>
  <c r="EI88" i="1"/>
  <c r="EI87" i="1"/>
  <c r="EI86" i="1"/>
  <c r="EI85" i="1"/>
  <c r="EI84" i="1"/>
  <c r="EI83" i="1"/>
  <c r="EI82" i="1"/>
  <c r="EI81" i="1"/>
  <c r="EI80" i="1"/>
  <c r="EI79" i="1"/>
  <c r="EI78" i="1"/>
  <c r="EI77" i="1"/>
  <c r="EI76" i="1"/>
  <c r="EI75" i="1"/>
  <c r="EI74" i="1"/>
  <c r="EI73" i="1"/>
  <c r="EI72" i="1"/>
  <c r="EI71" i="1"/>
  <c r="EI70" i="1"/>
  <c r="EI69" i="1"/>
  <c r="EI68" i="1"/>
  <c r="EI67" i="1"/>
  <c r="EI66" i="1"/>
  <c r="EI65" i="1"/>
  <c r="EI64" i="1"/>
  <c r="EI63" i="1"/>
  <c r="EI62" i="1"/>
  <c r="EI61" i="1"/>
  <c r="EI60" i="1"/>
  <c r="EI59" i="1"/>
  <c r="EI58" i="1"/>
  <c r="EI57" i="1"/>
  <c r="EI56" i="1"/>
  <c r="EI55" i="1"/>
  <c r="EI54" i="1"/>
  <c r="EI53" i="1"/>
  <c r="EI52" i="1"/>
  <c r="EI51" i="1"/>
  <c r="EI50" i="1"/>
  <c r="EI49" i="1"/>
  <c r="EI48" i="1"/>
  <c r="EI47" i="1"/>
  <c r="EI46" i="1"/>
  <c r="EI45" i="1"/>
  <c r="EI44" i="1"/>
  <c r="EI43" i="1"/>
  <c r="EI42" i="1"/>
  <c r="EI41" i="1"/>
  <c r="EI40" i="1"/>
  <c r="EI39" i="1"/>
  <c r="EI38" i="1"/>
  <c r="EI37" i="1"/>
  <c r="EI36" i="1"/>
  <c r="EI35" i="1"/>
  <c r="EI34" i="1"/>
  <c r="EI33" i="1"/>
  <c r="EI32" i="1"/>
  <c r="EI31" i="1"/>
  <c r="EI30" i="1"/>
  <c r="EI29" i="1"/>
  <c r="EI28" i="1"/>
  <c r="EI27" i="1"/>
  <c r="EI26" i="1"/>
  <c r="EI25" i="1"/>
  <c r="EI24" i="1"/>
  <c r="EI23" i="1"/>
  <c r="EI22" i="1"/>
  <c r="EI21" i="1"/>
  <c r="EI20" i="1"/>
  <c r="EI19" i="1"/>
  <c r="EI18" i="1"/>
  <c r="EI17" i="1"/>
  <c r="EI16" i="1"/>
  <c r="EI15" i="1"/>
  <c r="EI14" i="1"/>
  <c r="EI13" i="1"/>
  <c r="DJ93" i="1"/>
  <c r="DJ92" i="1"/>
  <c r="DJ91" i="1"/>
  <c r="DJ90" i="1"/>
  <c r="DJ89" i="1"/>
  <c r="DJ88" i="1"/>
  <c r="DJ87" i="1"/>
  <c r="DJ86" i="1"/>
  <c r="DJ85" i="1"/>
  <c r="DJ84" i="1"/>
  <c r="DJ83" i="1"/>
  <c r="DJ82" i="1"/>
  <c r="DJ8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J63" i="1"/>
  <c r="DJ62" i="1"/>
  <c r="DJ61" i="1"/>
  <c r="DJ60" i="1"/>
  <c r="DJ59" i="1"/>
  <c r="DJ58" i="1"/>
  <c r="DJ57" i="1"/>
  <c r="DJ56" i="1"/>
  <c r="DJ55" i="1"/>
  <c r="DJ54" i="1"/>
  <c r="DJ53" i="1"/>
  <c r="DJ52" i="1"/>
  <c r="DJ51" i="1"/>
  <c r="DJ50" i="1"/>
  <c r="DJ49" i="1"/>
  <c r="DJ48" i="1"/>
  <c r="DJ47" i="1"/>
  <c r="DJ46" i="1"/>
  <c r="DJ45" i="1"/>
  <c r="DJ44" i="1"/>
  <c r="DJ43" i="1"/>
  <c r="DJ42" i="1"/>
  <c r="DJ41" i="1"/>
  <c r="DJ40" i="1"/>
  <c r="DJ39" i="1"/>
  <c r="DJ38" i="1"/>
  <c r="DJ37" i="1"/>
  <c r="DJ36" i="1"/>
  <c r="DJ35" i="1"/>
  <c r="DJ34" i="1"/>
  <c r="DJ33" i="1"/>
  <c r="DJ32" i="1"/>
  <c r="DJ31" i="1"/>
  <c r="DJ30" i="1"/>
  <c r="DJ29" i="1"/>
  <c r="DJ28" i="1"/>
  <c r="DJ27" i="1"/>
  <c r="DJ26" i="1"/>
  <c r="DJ25" i="1"/>
  <c r="DJ24" i="1"/>
  <c r="DJ23" i="1"/>
  <c r="DJ22" i="1"/>
  <c r="DJ21" i="1"/>
  <c r="DJ20" i="1"/>
  <c r="DH19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M87" i="1"/>
  <c r="M73" i="1"/>
  <c r="FC95" i="1"/>
  <c r="FB95" i="1"/>
  <c r="EZ95" i="1"/>
  <c r="EV95" i="1"/>
  <c r="EU95" i="1"/>
  <c r="ES95" i="1"/>
  <c r="EO95" i="1"/>
  <c r="EN95" i="1"/>
  <c r="EL95" i="1"/>
  <c r="EH95" i="1"/>
  <c r="EG95" i="1"/>
  <c r="EE95" i="1"/>
  <c r="EA95" i="1"/>
  <c r="DY95" i="1"/>
  <c r="DU95" i="1"/>
  <c r="DS95" i="1"/>
  <c r="DP95" i="1"/>
  <c r="DO95" i="1"/>
  <c r="DM95" i="1"/>
  <c r="DI95" i="1"/>
  <c r="DF95" i="1"/>
  <c r="DB95" i="1"/>
  <c r="DA95" i="1"/>
  <c r="CY95" i="1"/>
  <c r="CU95" i="1"/>
  <c r="CS95" i="1"/>
  <c r="CO95" i="1"/>
  <c r="CN95" i="1"/>
  <c r="CL95" i="1"/>
  <c r="CI95" i="1"/>
  <c r="CH95" i="1"/>
  <c r="CF95" i="1"/>
  <c r="CB95" i="1"/>
  <c r="CA95" i="1"/>
  <c r="BY95" i="1"/>
  <c r="BS95" i="1"/>
  <c r="BO95" i="1"/>
  <c r="BM95" i="1"/>
  <c r="BI95" i="1"/>
  <c r="BH95" i="1"/>
  <c r="BF95" i="1"/>
  <c r="BB95" i="1"/>
  <c r="BA95" i="1"/>
  <c r="AY95" i="1"/>
  <c r="AU95" i="1"/>
  <c r="AT95" i="1"/>
  <c r="AS95" i="1"/>
  <c r="AQ95" i="1"/>
  <c r="AM95" i="1"/>
  <c r="AI95" i="1"/>
  <c r="G47" i="3"/>
  <c r="G44" i="3"/>
  <c r="G41" i="3"/>
  <c r="G26" i="3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DR93" i="11"/>
  <c r="DR92" i="11"/>
  <c r="DR91" i="11"/>
  <c r="DR90" i="11"/>
  <c r="DR89" i="11"/>
  <c r="DR88" i="11"/>
  <c r="DR87" i="11"/>
  <c r="DR86" i="11"/>
  <c r="DR85" i="11"/>
  <c r="DR84" i="11"/>
  <c r="DR83" i="11"/>
  <c r="DR82" i="11"/>
  <c r="DR81" i="11"/>
  <c r="DR80" i="11"/>
  <c r="DR79" i="11"/>
  <c r="DR78" i="11"/>
  <c r="DR77" i="11"/>
  <c r="DR76" i="11"/>
  <c r="DR75" i="11"/>
  <c r="DR74" i="11"/>
  <c r="DR73" i="11"/>
  <c r="DR72" i="11"/>
  <c r="DR71" i="11"/>
  <c r="DR70" i="11"/>
  <c r="DR69" i="11"/>
  <c r="DR68" i="11"/>
  <c r="DR67" i="11"/>
  <c r="DR66" i="11"/>
  <c r="DR65" i="11"/>
  <c r="DR64" i="11"/>
  <c r="DR63" i="11"/>
  <c r="DR62" i="11"/>
  <c r="DR61" i="11"/>
  <c r="DR60" i="11"/>
  <c r="DR59" i="11"/>
  <c r="DR58" i="11"/>
  <c r="DR57" i="11"/>
  <c r="DR56" i="11"/>
  <c r="DR55" i="11"/>
  <c r="DR54" i="11"/>
  <c r="DR53" i="11"/>
  <c r="DR52" i="11"/>
  <c r="DR51" i="11"/>
  <c r="DR50" i="11"/>
  <c r="DR49" i="11"/>
  <c r="DR48" i="11"/>
  <c r="DR47" i="11"/>
  <c r="DR46" i="11"/>
  <c r="DR45" i="11"/>
  <c r="DR44" i="11"/>
  <c r="DR43" i="11"/>
  <c r="DR42" i="11"/>
  <c r="DR41" i="11"/>
  <c r="DR40" i="11"/>
  <c r="DR39" i="11"/>
  <c r="DR38" i="11"/>
  <c r="DR37" i="11"/>
  <c r="DR36" i="11"/>
  <c r="DR35" i="11"/>
  <c r="DR34" i="11"/>
  <c r="DR33" i="11"/>
  <c r="DR32" i="11"/>
  <c r="DR31" i="11"/>
  <c r="DR30" i="11"/>
  <c r="DR29" i="11"/>
  <c r="DR28" i="11"/>
  <c r="DR27" i="11"/>
  <c r="DR26" i="11"/>
  <c r="DR25" i="11"/>
  <c r="DR24" i="11"/>
  <c r="DR23" i="11"/>
  <c r="DR22" i="11"/>
  <c r="DR21" i="11"/>
  <c r="DR20" i="11"/>
  <c r="DR19" i="11"/>
  <c r="DR18" i="11"/>
  <c r="DR17" i="11"/>
  <c r="DR16" i="11"/>
  <c r="DR15" i="11"/>
  <c r="DR14" i="11"/>
  <c r="DR13" i="11"/>
  <c r="DR12" i="11"/>
  <c r="EM93" i="11"/>
  <c r="EM92" i="11"/>
  <c r="EM91" i="11"/>
  <c r="EM90" i="11"/>
  <c r="EM89" i="11"/>
  <c r="EM88" i="11"/>
  <c r="EM87" i="11"/>
  <c r="EM86" i="11"/>
  <c r="EM85" i="11"/>
  <c r="EM84" i="11"/>
  <c r="EM83" i="11"/>
  <c r="EM82" i="11"/>
  <c r="EM81" i="11"/>
  <c r="EM80" i="11"/>
  <c r="EM79" i="11"/>
  <c r="EM78" i="11"/>
  <c r="EM77" i="11"/>
  <c r="EM76" i="11"/>
  <c r="EM75" i="11"/>
  <c r="EM74" i="11"/>
  <c r="EM73" i="11"/>
  <c r="EM72" i="11"/>
  <c r="EM71" i="11"/>
  <c r="EM70" i="11"/>
  <c r="EM69" i="11"/>
  <c r="EM68" i="11"/>
  <c r="EM67" i="11"/>
  <c r="EM66" i="11"/>
  <c r="EM65" i="11"/>
  <c r="EM64" i="11"/>
  <c r="EM63" i="11"/>
  <c r="EM62" i="11"/>
  <c r="EM61" i="11"/>
  <c r="EM60" i="11"/>
  <c r="EM59" i="11"/>
  <c r="EM58" i="11"/>
  <c r="EM57" i="11"/>
  <c r="EM56" i="11"/>
  <c r="EM55" i="11"/>
  <c r="EM54" i="11"/>
  <c r="EM53" i="11"/>
  <c r="EM52" i="11"/>
  <c r="EM51" i="11"/>
  <c r="EM50" i="11"/>
  <c r="EM49" i="11"/>
  <c r="EM48" i="11"/>
  <c r="EM47" i="11"/>
  <c r="EM46" i="11"/>
  <c r="EM45" i="11"/>
  <c r="EM44" i="11"/>
  <c r="EM43" i="11"/>
  <c r="EM42" i="11"/>
  <c r="EM41" i="11"/>
  <c r="EM40" i="11"/>
  <c r="EM39" i="11"/>
  <c r="EM38" i="11"/>
  <c r="EM37" i="11"/>
  <c r="EM36" i="11"/>
  <c r="EM35" i="11"/>
  <c r="EM34" i="11"/>
  <c r="EM33" i="11"/>
  <c r="EM32" i="11"/>
  <c r="EM31" i="11"/>
  <c r="EM30" i="11"/>
  <c r="EM29" i="11"/>
  <c r="EM28" i="11"/>
  <c r="EM27" i="11"/>
  <c r="EM26" i="11"/>
  <c r="EM25" i="11"/>
  <c r="EM24" i="11"/>
  <c r="EM23" i="11"/>
  <c r="EM22" i="11"/>
  <c r="EM21" i="11"/>
  <c r="EM20" i="11"/>
  <c r="EM19" i="11"/>
  <c r="EM18" i="11"/>
  <c r="EM17" i="11"/>
  <c r="EM16" i="11"/>
  <c r="EM15" i="11"/>
  <c r="EM14" i="11"/>
  <c r="EM13" i="11"/>
  <c r="EM12" i="11"/>
  <c r="EF93" i="11"/>
  <c r="EF92" i="11"/>
  <c r="EF91" i="11"/>
  <c r="EF90" i="11"/>
  <c r="EF89" i="11"/>
  <c r="EF88" i="11"/>
  <c r="EF87" i="11"/>
  <c r="EF86" i="11"/>
  <c r="EF85" i="11"/>
  <c r="EF84" i="11"/>
  <c r="EF83" i="11"/>
  <c r="EF82" i="11"/>
  <c r="EF81" i="11"/>
  <c r="EF80" i="11"/>
  <c r="EF79" i="11"/>
  <c r="EF78" i="11"/>
  <c r="EF77" i="11"/>
  <c r="EF76" i="11"/>
  <c r="EF75" i="11"/>
  <c r="EF74" i="11"/>
  <c r="EF73" i="11"/>
  <c r="EF72" i="11"/>
  <c r="EF71" i="11"/>
  <c r="EF70" i="11"/>
  <c r="EF69" i="11"/>
  <c r="EF68" i="11"/>
  <c r="EF67" i="11"/>
  <c r="EF66" i="11"/>
  <c r="EF65" i="11"/>
  <c r="EF64" i="11"/>
  <c r="EF63" i="11"/>
  <c r="EF62" i="11"/>
  <c r="EF61" i="11"/>
  <c r="EF60" i="11"/>
  <c r="EF59" i="11"/>
  <c r="EF58" i="11"/>
  <c r="EF57" i="11"/>
  <c r="EF56" i="11"/>
  <c r="EF55" i="11"/>
  <c r="EF54" i="11"/>
  <c r="EF53" i="11"/>
  <c r="EF52" i="11"/>
  <c r="EF51" i="11"/>
  <c r="EF50" i="11"/>
  <c r="EF49" i="11"/>
  <c r="EF48" i="11"/>
  <c r="EF47" i="11"/>
  <c r="EF46" i="11"/>
  <c r="EF45" i="11"/>
  <c r="EF44" i="11"/>
  <c r="EF43" i="11"/>
  <c r="EF42" i="11"/>
  <c r="EF41" i="11"/>
  <c r="EF40" i="11"/>
  <c r="EF39" i="11"/>
  <c r="EF38" i="11"/>
  <c r="EF37" i="11"/>
  <c r="EF36" i="11"/>
  <c r="EF35" i="11"/>
  <c r="EF34" i="11"/>
  <c r="EF33" i="11"/>
  <c r="EF32" i="11"/>
  <c r="EF31" i="11"/>
  <c r="EF30" i="11"/>
  <c r="EF29" i="11"/>
  <c r="EF28" i="11"/>
  <c r="EF27" i="11"/>
  <c r="EF26" i="11"/>
  <c r="EF25" i="11"/>
  <c r="EF24" i="11"/>
  <c r="EF23" i="11"/>
  <c r="EF22" i="11"/>
  <c r="EF21" i="11"/>
  <c r="EF20" i="11"/>
  <c r="EF19" i="11"/>
  <c r="EF18" i="11"/>
  <c r="EF17" i="11"/>
  <c r="EF16" i="11"/>
  <c r="EF15" i="11"/>
  <c r="EF14" i="11"/>
  <c r="EF13" i="11"/>
  <c r="EF12" i="11"/>
  <c r="DY93" i="11"/>
  <c r="DY92" i="11"/>
  <c r="DY91" i="11"/>
  <c r="DY90" i="11"/>
  <c r="DY89" i="11"/>
  <c r="DY88" i="11"/>
  <c r="DY87" i="11"/>
  <c r="DY86" i="11"/>
  <c r="DY85" i="11"/>
  <c r="DY84" i="11"/>
  <c r="DY83" i="11"/>
  <c r="DY82" i="11"/>
  <c r="DY81" i="11"/>
  <c r="DY80" i="11"/>
  <c r="DY79" i="11"/>
  <c r="DY78" i="11"/>
  <c r="DY77" i="11"/>
  <c r="DY76" i="11"/>
  <c r="DY75" i="11"/>
  <c r="DY74" i="11"/>
  <c r="DY73" i="11"/>
  <c r="DY72" i="11"/>
  <c r="DY71" i="11"/>
  <c r="DY70" i="11"/>
  <c r="DY69" i="11"/>
  <c r="DY68" i="11"/>
  <c r="DY67" i="11"/>
  <c r="DY66" i="11"/>
  <c r="DY65" i="11"/>
  <c r="DY64" i="11"/>
  <c r="DY63" i="11"/>
  <c r="DY62" i="11"/>
  <c r="DY61" i="11"/>
  <c r="DY60" i="11"/>
  <c r="DY59" i="11"/>
  <c r="DY58" i="11"/>
  <c r="DY57" i="11"/>
  <c r="DY56" i="11"/>
  <c r="DY55" i="11"/>
  <c r="DY54" i="11"/>
  <c r="DY53" i="11"/>
  <c r="DY52" i="11"/>
  <c r="DY51" i="11"/>
  <c r="DY50" i="11"/>
  <c r="DY49" i="11"/>
  <c r="DY48" i="11"/>
  <c r="DY47" i="11"/>
  <c r="DY46" i="11"/>
  <c r="DY45" i="11"/>
  <c r="DY44" i="11"/>
  <c r="DY43" i="11"/>
  <c r="DY42" i="11"/>
  <c r="DY41" i="11"/>
  <c r="DY40" i="11"/>
  <c r="DY39" i="11"/>
  <c r="DY38" i="11"/>
  <c r="DY37" i="11"/>
  <c r="DY36" i="11"/>
  <c r="DY35" i="11"/>
  <c r="DY34" i="11"/>
  <c r="DY33" i="11"/>
  <c r="DY32" i="11"/>
  <c r="DY31" i="11"/>
  <c r="DY30" i="11"/>
  <c r="DY29" i="11"/>
  <c r="DY28" i="11"/>
  <c r="DY27" i="11"/>
  <c r="DY26" i="11"/>
  <c r="DY25" i="11"/>
  <c r="DY24" i="11"/>
  <c r="DY23" i="11"/>
  <c r="DY22" i="11"/>
  <c r="DY21" i="11"/>
  <c r="DY20" i="11"/>
  <c r="DY19" i="11"/>
  <c r="DY18" i="11"/>
  <c r="DY17" i="11"/>
  <c r="DY16" i="11"/>
  <c r="DY15" i="11"/>
  <c r="DY14" i="11"/>
  <c r="DY13" i="11"/>
  <c r="DY12" i="11"/>
  <c r="DY95" i="11" s="1"/>
  <c r="BE93" i="11"/>
  <c r="BE92" i="11"/>
  <c r="BE91" i="11"/>
  <c r="BE90" i="11"/>
  <c r="BE89" i="11"/>
  <c r="BE88" i="11"/>
  <c r="BE87" i="11"/>
  <c r="BE86" i="11"/>
  <c r="BE85" i="11"/>
  <c r="BE84" i="11"/>
  <c r="BE83" i="11"/>
  <c r="BE82" i="11"/>
  <c r="BE81" i="11"/>
  <c r="BE80" i="11"/>
  <c r="BE79" i="11"/>
  <c r="BE78" i="11"/>
  <c r="BE77" i="11"/>
  <c r="BE76" i="11"/>
  <c r="BE75" i="11"/>
  <c r="BE74" i="11"/>
  <c r="BE73" i="11"/>
  <c r="BE72" i="11"/>
  <c r="BE71" i="11"/>
  <c r="BE70" i="11"/>
  <c r="BE69" i="11"/>
  <c r="BE68" i="11"/>
  <c r="BE67" i="11"/>
  <c r="BE66" i="11"/>
  <c r="BE65" i="11"/>
  <c r="BE64" i="11"/>
  <c r="BE63" i="11"/>
  <c r="BE62" i="11"/>
  <c r="BE61" i="11"/>
  <c r="BE60" i="11"/>
  <c r="BE59" i="11"/>
  <c r="BE58" i="11"/>
  <c r="BE57" i="11"/>
  <c r="BE56" i="11"/>
  <c r="BE55" i="11"/>
  <c r="BE54" i="11"/>
  <c r="BE53" i="11"/>
  <c r="BE52" i="11"/>
  <c r="BE51" i="11"/>
  <c r="BE50" i="11"/>
  <c r="BE49" i="11"/>
  <c r="BE48" i="11"/>
  <c r="BE47" i="11"/>
  <c r="BE46" i="11"/>
  <c r="BE45" i="11"/>
  <c r="BE44" i="11"/>
  <c r="BE43" i="11"/>
  <c r="BE42" i="11"/>
  <c r="BE41" i="11"/>
  <c r="BE40" i="11"/>
  <c r="BE39" i="11"/>
  <c r="BE38" i="11"/>
  <c r="BE37" i="11"/>
  <c r="BE36" i="11"/>
  <c r="BE35" i="11"/>
  <c r="BE34" i="11"/>
  <c r="BE33" i="11"/>
  <c r="BE32" i="11"/>
  <c r="BE31" i="11"/>
  <c r="BE30" i="11"/>
  <c r="BE29" i="11"/>
  <c r="BE28" i="11"/>
  <c r="BE27" i="11"/>
  <c r="BE26" i="11"/>
  <c r="BE25" i="11"/>
  <c r="BE24" i="11"/>
  <c r="BE23" i="11"/>
  <c r="BE22" i="11"/>
  <c r="BE21" i="11"/>
  <c r="BE20" i="11"/>
  <c r="BE19" i="11"/>
  <c r="BE18" i="11"/>
  <c r="CS93" i="11"/>
  <c r="CS92" i="11"/>
  <c r="CS91" i="11"/>
  <c r="CS90" i="11"/>
  <c r="CS89" i="11"/>
  <c r="CS88" i="11"/>
  <c r="CS87" i="11"/>
  <c r="CS86" i="11"/>
  <c r="CS85" i="11"/>
  <c r="CS84" i="11"/>
  <c r="CS83" i="11"/>
  <c r="CS82" i="11"/>
  <c r="CS81" i="11"/>
  <c r="CS80" i="11"/>
  <c r="CS79" i="11"/>
  <c r="CS78" i="11"/>
  <c r="CS77" i="11"/>
  <c r="CS76" i="11"/>
  <c r="CS75" i="11"/>
  <c r="CS74" i="11"/>
  <c r="CS73" i="11"/>
  <c r="CS72" i="11"/>
  <c r="CS71" i="11"/>
  <c r="CS70" i="11"/>
  <c r="CS69" i="11"/>
  <c r="CS68" i="11"/>
  <c r="CS67" i="11"/>
  <c r="CS66" i="11"/>
  <c r="CS65" i="11"/>
  <c r="CS64" i="11"/>
  <c r="CS63" i="11"/>
  <c r="CS62" i="11"/>
  <c r="CS61" i="11"/>
  <c r="CS60" i="11"/>
  <c r="CS59" i="11"/>
  <c r="CS58" i="11"/>
  <c r="CS57" i="11"/>
  <c r="CS56" i="11"/>
  <c r="CS55" i="11"/>
  <c r="CS54" i="11"/>
  <c r="CS53" i="11"/>
  <c r="CS52" i="11"/>
  <c r="CS51" i="11"/>
  <c r="CS50" i="11"/>
  <c r="CS49" i="11"/>
  <c r="CS48" i="11"/>
  <c r="CS47" i="11"/>
  <c r="CS46" i="11"/>
  <c r="CS45" i="11"/>
  <c r="CS44" i="11"/>
  <c r="CS43" i="11"/>
  <c r="CS42" i="11"/>
  <c r="CS41" i="11"/>
  <c r="CS40" i="11"/>
  <c r="CS39" i="11"/>
  <c r="CS38" i="11"/>
  <c r="CS37" i="11"/>
  <c r="CS36" i="11"/>
  <c r="CS35" i="11"/>
  <c r="CS34" i="11"/>
  <c r="CS33" i="11"/>
  <c r="CS32" i="11"/>
  <c r="CS31" i="11"/>
  <c r="CS30" i="11"/>
  <c r="CS29" i="11"/>
  <c r="CS28" i="11"/>
  <c r="CS27" i="11"/>
  <c r="CS26" i="11"/>
  <c r="CS25" i="11"/>
  <c r="CS24" i="11"/>
  <c r="CS23" i="11"/>
  <c r="CS22" i="11"/>
  <c r="CS21" i="11"/>
  <c r="CS20" i="11"/>
  <c r="CS19" i="11"/>
  <c r="CS18" i="11"/>
  <c r="CS17" i="11"/>
  <c r="CS16" i="11"/>
  <c r="G22" i="3"/>
  <c r="G36" i="3"/>
  <c r="G40" i="3"/>
  <c r="G48" i="3"/>
  <c r="BV57" i="1"/>
  <c r="BU56" i="1"/>
  <c r="AL95" i="1"/>
  <c r="G33" i="3"/>
  <c r="G28" i="3"/>
  <c r="G35" i="3"/>
  <c r="G38" i="3"/>
  <c r="G43" i="3"/>
  <c r="G51" i="3"/>
  <c r="BE17" i="11"/>
  <c r="AN23" i="1"/>
  <c r="AN13" i="1"/>
  <c r="AE95" i="11"/>
  <c r="AD95" i="11"/>
  <c r="AC95" i="11"/>
  <c r="AA95" i="11"/>
  <c r="X95" i="11"/>
  <c r="W95" i="11"/>
  <c r="V95" i="11"/>
  <c r="T95" i="11"/>
  <c r="I45" i="14"/>
  <c r="K51" i="13"/>
  <c r="BL95" i="11"/>
  <c r="BK95" i="11"/>
  <c r="BH95" i="11"/>
  <c r="BD95" i="11"/>
  <c r="BA95" i="11"/>
  <c r="AX95" i="11"/>
  <c r="AW95" i="11"/>
  <c r="AU95" i="11"/>
  <c r="AR95" i="11"/>
  <c r="AQ95" i="11"/>
  <c r="AO95" i="11"/>
  <c r="AL95" i="11"/>
  <c r="AK95" i="11"/>
  <c r="AJ95" i="11"/>
  <c r="AH95" i="11"/>
  <c r="H95" i="11"/>
  <c r="J89" i="11"/>
  <c r="J87" i="11"/>
  <c r="EK95" i="11"/>
  <c r="EI95" i="11"/>
  <c r="ED95" i="11"/>
  <c r="EB95" i="11"/>
  <c r="DW95" i="11"/>
  <c r="DU95" i="11"/>
  <c r="DQ95" i="11"/>
  <c r="DP95" i="11"/>
  <c r="DN95" i="11"/>
  <c r="DK95" i="11"/>
  <c r="DJ95" i="11"/>
  <c r="DH95" i="11"/>
  <c r="DE95" i="11"/>
  <c r="DD95" i="11"/>
  <c r="DB95" i="11"/>
  <c r="CY95" i="11"/>
  <c r="CX95" i="11"/>
  <c r="CW95" i="11"/>
  <c r="CV95" i="11"/>
  <c r="CO95" i="11"/>
  <c r="CH95" i="11"/>
  <c r="CB95" i="11"/>
  <c r="BY95" i="11"/>
  <c r="BX95" i="11"/>
  <c r="BW95" i="11"/>
  <c r="BO95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D73" i="11"/>
  <c r="F73" i="11" s="1"/>
  <c r="I73" i="11" s="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2" i="11"/>
  <c r="CL31" i="11"/>
  <c r="CL30" i="11"/>
  <c r="CL29" i="11"/>
  <c r="CL28" i="11"/>
  <c r="DX95" i="11"/>
  <c r="EE95" i="11"/>
  <c r="K73" i="9"/>
  <c r="I73" i="9"/>
  <c r="G73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1" i="9"/>
  <c r="M10" i="9"/>
  <c r="E73" i="9"/>
  <c r="H30" i="8"/>
  <c r="H33" i="8" s="1"/>
  <c r="K49" i="14"/>
  <c r="K54" i="14" s="1"/>
  <c r="CK95" i="11"/>
  <c r="CL33" i="11"/>
  <c r="I51" i="13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J95" i="11"/>
  <c r="EL95" i="11"/>
  <c r="EM95" i="11"/>
  <c r="DV95" i="1" l="1"/>
  <c r="S56" i="1"/>
  <c r="E54" i="4" s="1"/>
  <c r="J57" i="1"/>
  <c r="CC95" i="1"/>
  <c r="BP95" i="1"/>
  <c r="M73" i="9"/>
  <c r="CP95" i="1"/>
  <c r="I95" i="1"/>
  <c r="M59" i="1"/>
  <c r="M67" i="1"/>
  <c r="M79" i="1"/>
  <c r="M81" i="1"/>
  <c r="M83" i="1"/>
  <c r="M85" i="1"/>
  <c r="M89" i="1"/>
  <c r="M91" i="1"/>
  <c r="M93" i="1"/>
  <c r="V84" i="1"/>
  <c r="V92" i="1"/>
  <c r="R95" i="1"/>
  <c r="I27" i="3"/>
  <c r="EB95" i="1"/>
  <c r="EI95" i="1"/>
  <c r="EP95" i="1"/>
  <c r="EW95" i="1"/>
  <c r="I56" i="3"/>
  <c r="L95" i="1"/>
  <c r="M63" i="1"/>
  <c r="M71" i="1"/>
  <c r="V88" i="1"/>
  <c r="G50" i="3"/>
  <c r="G45" i="3"/>
  <c r="G42" i="3"/>
  <c r="V72" i="1"/>
  <c r="V60" i="1"/>
  <c r="V76" i="1"/>
  <c r="C66" i="3"/>
  <c r="M75" i="1"/>
  <c r="M77" i="1"/>
  <c r="C10" i="3"/>
  <c r="V64" i="1"/>
  <c r="V80" i="1"/>
  <c r="C15" i="3"/>
  <c r="M61" i="1"/>
  <c r="M65" i="1"/>
  <c r="M69" i="1"/>
  <c r="V68" i="1"/>
  <c r="J81" i="11"/>
  <c r="EF95" i="11"/>
  <c r="DR95" i="11"/>
  <c r="A96" i="4"/>
  <c r="A96" i="3"/>
  <c r="AN21" i="1"/>
  <c r="E95" i="11"/>
  <c r="J75" i="11"/>
  <c r="CL95" i="11"/>
  <c r="CE73" i="11"/>
  <c r="CD72" i="11"/>
  <c r="F72" i="11" s="1"/>
  <c r="I72" i="11" s="1"/>
  <c r="CS14" i="11"/>
  <c r="CS15" i="11"/>
  <c r="BV56" i="1"/>
  <c r="BU55" i="1"/>
  <c r="S55" i="1" s="1"/>
  <c r="E53" i="4" s="1"/>
  <c r="M57" i="1"/>
  <c r="G46" i="3"/>
  <c r="AN22" i="1"/>
  <c r="AN53" i="1"/>
  <c r="DH18" i="1"/>
  <c r="DJ19" i="1"/>
  <c r="G59" i="3"/>
  <c r="K59" i="3" s="1"/>
  <c r="V61" i="1"/>
  <c r="E64" i="3"/>
  <c r="K64" i="3" s="1"/>
  <c r="C69" i="3"/>
  <c r="V71" i="1"/>
  <c r="I70" i="3"/>
  <c r="G75" i="3"/>
  <c r="V77" i="1"/>
  <c r="E80" i="3"/>
  <c r="C85" i="3"/>
  <c r="V87" i="1"/>
  <c r="I86" i="3"/>
  <c r="G91" i="3"/>
  <c r="V93" i="1"/>
  <c r="J77" i="11"/>
  <c r="J79" i="11"/>
  <c r="J83" i="11"/>
  <c r="J85" i="11"/>
  <c r="J91" i="11"/>
  <c r="J93" i="11"/>
  <c r="CR95" i="11"/>
  <c r="G95" i="11"/>
  <c r="G31" i="3"/>
  <c r="BE16" i="11"/>
  <c r="G37" i="3"/>
  <c r="FD95" i="1"/>
  <c r="C57" i="3"/>
  <c r="K57" i="3" s="1"/>
  <c r="V59" i="1"/>
  <c r="I58" i="3"/>
  <c r="G63" i="3"/>
  <c r="K63" i="3" s="1"/>
  <c r="V65" i="1"/>
  <c r="E68" i="3"/>
  <c r="C73" i="3"/>
  <c r="V75" i="1"/>
  <c r="I74" i="3"/>
  <c r="G79" i="3"/>
  <c r="V81" i="1"/>
  <c r="E84" i="3"/>
  <c r="V86" i="1"/>
  <c r="C89" i="3"/>
  <c r="V91" i="1"/>
  <c r="I90" i="3"/>
  <c r="C45" i="3"/>
  <c r="E56" i="3"/>
  <c r="K56" i="3" s="1"/>
  <c r="C61" i="3"/>
  <c r="K61" i="3" s="1"/>
  <c r="V63" i="1"/>
  <c r="I62" i="3"/>
  <c r="K62" i="3" s="1"/>
  <c r="G67" i="3"/>
  <c r="V69" i="1"/>
  <c r="E72" i="3"/>
  <c r="C77" i="3"/>
  <c r="V79" i="1"/>
  <c r="I78" i="3"/>
  <c r="G83" i="3"/>
  <c r="V85" i="1"/>
  <c r="E88" i="3"/>
  <c r="V90" i="1"/>
  <c r="E55" i="3"/>
  <c r="K55" i="3" s="1"/>
  <c r="V57" i="1"/>
  <c r="C11" i="3"/>
  <c r="I12" i="3"/>
  <c r="U95" i="1"/>
  <c r="C14" i="3"/>
  <c r="I16" i="3"/>
  <c r="C18" i="3"/>
  <c r="I20" i="3"/>
  <c r="C22" i="3"/>
  <c r="I23" i="3"/>
  <c r="C27" i="3"/>
  <c r="I28" i="3"/>
  <c r="C30" i="3"/>
  <c r="I31" i="3"/>
  <c r="C33" i="3"/>
  <c r="C35" i="3"/>
  <c r="C37" i="3"/>
  <c r="C39" i="3"/>
  <c r="C41" i="3"/>
  <c r="C43" i="3"/>
  <c r="C47" i="3"/>
  <c r="C49" i="3"/>
  <c r="C51" i="3"/>
  <c r="I52" i="3"/>
  <c r="C54" i="3"/>
  <c r="E60" i="3"/>
  <c r="K60" i="3" s="1"/>
  <c r="C65" i="3"/>
  <c r="K65" i="3" s="1"/>
  <c r="V67" i="1"/>
  <c r="I66" i="3"/>
  <c r="G71" i="3"/>
  <c r="V73" i="1"/>
  <c r="E76" i="3"/>
  <c r="C81" i="3"/>
  <c r="V83" i="1"/>
  <c r="I82" i="3"/>
  <c r="G87" i="3"/>
  <c r="V89" i="1"/>
  <c r="G68" i="3"/>
  <c r="E69" i="3"/>
  <c r="I71" i="3"/>
  <c r="G72" i="3"/>
  <c r="E73" i="3"/>
  <c r="I75" i="3"/>
  <c r="G76" i="3"/>
  <c r="E77" i="3"/>
  <c r="I79" i="3"/>
  <c r="G80" i="3"/>
  <c r="E81" i="3"/>
  <c r="I83" i="3"/>
  <c r="G84" i="3"/>
  <c r="E85" i="3"/>
  <c r="I87" i="3"/>
  <c r="G88" i="3"/>
  <c r="E89" i="3"/>
  <c r="I91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C29" i="3"/>
  <c r="E58" i="3"/>
  <c r="G70" i="3"/>
  <c r="V58" i="1"/>
  <c r="V62" i="1"/>
  <c r="V66" i="1"/>
  <c r="V70" i="1"/>
  <c r="I68" i="3"/>
  <c r="G69" i="3"/>
  <c r="E70" i="3"/>
  <c r="V74" i="1"/>
  <c r="I72" i="3"/>
  <c r="G73" i="3"/>
  <c r="E74" i="3"/>
  <c r="V78" i="1"/>
  <c r="I76" i="3"/>
  <c r="G77" i="3"/>
  <c r="V82" i="1"/>
  <c r="I80" i="3"/>
  <c r="G81" i="3"/>
  <c r="E82" i="3"/>
  <c r="I84" i="3"/>
  <c r="G85" i="3"/>
  <c r="I88" i="3"/>
  <c r="G89" i="3"/>
  <c r="E90" i="3"/>
  <c r="K58" i="4"/>
  <c r="E78" i="3"/>
  <c r="E67" i="3"/>
  <c r="K67" i="3" s="1"/>
  <c r="I69" i="3"/>
  <c r="E71" i="3"/>
  <c r="I73" i="3"/>
  <c r="G74" i="3"/>
  <c r="E75" i="3"/>
  <c r="I77" i="3"/>
  <c r="G78" i="3"/>
  <c r="E79" i="3"/>
  <c r="K79" i="3" s="1"/>
  <c r="I81" i="3"/>
  <c r="G82" i="3"/>
  <c r="E83" i="3"/>
  <c r="I85" i="3"/>
  <c r="G86" i="3"/>
  <c r="E87" i="3"/>
  <c r="K88" i="3"/>
  <c r="I89" i="3"/>
  <c r="G90" i="3"/>
  <c r="E91" i="3"/>
  <c r="K91" i="3" s="1"/>
  <c r="K66" i="4"/>
  <c r="K79" i="4"/>
  <c r="E86" i="3"/>
  <c r="K86" i="3" s="1"/>
  <c r="A15" i="1"/>
  <c r="G20" i="15"/>
  <c r="G156" i="15"/>
  <c r="K75" i="3" l="1"/>
  <c r="K58" i="3"/>
  <c r="M59" i="3" s="1"/>
  <c r="K87" i="3"/>
  <c r="K71" i="3"/>
  <c r="M65" i="3"/>
  <c r="K83" i="3"/>
  <c r="M57" i="3"/>
  <c r="K56" i="4"/>
  <c r="K95" i="1"/>
  <c r="K72" i="3"/>
  <c r="M87" i="3"/>
  <c r="K64" i="4"/>
  <c r="K60" i="4"/>
  <c r="M61" i="3"/>
  <c r="K66" i="3"/>
  <c r="M67" i="3" s="1"/>
  <c r="K55" i="4"/>
  <c r="K78" i="3"/>
  <c r="M79" i="3" s="1"/>
  <c r="K59" i="4"/>
  <c r="M59" i="4" s="1"/>
  <c r="K82" i="3"/>
  <c r="K74" i="3"/>
  <c r="K90" i="3"/>
  <c r="M91" i="3" s="1"/>
  <c r="K70" i="3"/>
  <c r="M71" i="3" s="1"/>
  <c r="K91" i="4"/>
  <c r="K63" i="4"/>
  <c r="K88" i="4"/>
  <c r="K72" i="4"/>
  <c r="K87" i="4"/>
  <c r="K71" i="4"/>
  <c r="K70" i="4"/>
  <c r="K80" i="4"/>
  <c r="K78" i="4"/>
  <c r="M79" i="4" s="1"/>
  <c r="K75" i="4"/>
  <c r="K90" i="4"/>
  <c r="A16" i="1"/>
  <c r="K83" i="4"/>
  <c r="K82" i="4"/>
  <c r="K67" i="4"/>
  <c r="M67" i="4" s="1"/>
  <c r="K81" i="4"/>
  <c r="K76" i="3"/>
  <c r="I93" i="3"/>
  <c r="I101" i="4" s="1"/>
  <c r="K89" i="3"/>
  <c r="M89" i="3" s="1"/>
  <c r="K68" i="4"/>
  <c r="K85" i="3"/>
  <c r="K69" i="4"/>
  <c r="C93" i="4"/>
  <c r="K77" i="4"/>
  <c r="K73" i="4"/>
  <c r="K68" i="3"/>
  <c r="AN51" i="1"/>
  <c r="G24" i="3"/>
  <c r="T95" i="1"/>
  <c r="E54" i="3"/>
  <c r="K54" i="3" s="1"/>
  <c r="M55" i="3" s="1"/>
  <c r="K54" i="4"/>
  <c r="V56" i="1"/>
  <c r="K81" i="3"/>
  <c r="K65" i="4"/>
  <c r="C93" i="3"/>
  <c r="C101" i="4" s="1"/>
  <c r="M63" i="3"/>
  <c r="K89" i="4"/>
  <c r="M89" i="4" s="1"/>
  <c r="K84" i="4"/>
  <c r="K57" i="4"/>
  <c r="M57" i="4" s="1"/>
  <c r="BE15" i="11"/>
  <c r="CS13" i="11"/>
  <c r="K85" i="4"/>
  <c r="K80" i="3"/>
  <c r="K69" i="3"/>
  <c r="DH17" i="1"/>
  <c r="DJ18" i="1"/>
  <c r="AN52" i="1"/>
  <c r="G39" i="3"/>
  <c r="K74" i="4"/>
  <c r="M75" i="4" s="1"/>
  <c r="M75" i="3"/>
  <c r="K86" i="4"/>
  <c r="M87" i="4" s="1"/>
  <c r="K62" i="4"/>
  <c r="I93" i="4"/>
  <c r="K76" i="4"/>
  <c r="M77" i="4" s="1"/>
  <c r="K77" i="3"/>
  <c r="K61" i="4"/>
  <c r="M61" i="4" s="1"/>
  <c r="G34" i="3"/>
  <c r="K84" i="3"/>
  <c r="K73" i="3"/>
  <c r="M73" i="3" s="1"/>
  <c r="G49" i="3"/>
  <c r="BU54" i="1"/>
  <c r="BV55" i="1"/>
  <c r="J73" i="11"/>
  <c r="CD71" i="11"/>
  <c r="F71" i="11" s="1"/>
  <c r="I71" i="11" s="1"/>
  <c r="CE72" i="11"/>
  <c r="AN20" i="1"/>
  <c r="J55" i="1" l="1"/>
  <c r="S54" i="1"/>
  <c r="E52" i="4" s="1"/>
  <c r="M83" i="3"/>
  <c r="M63" i="4"/>
  <c r="M71" i="4"/>
  <c r="M65" i="4"/>
  <c r="M85" i="3"/>
  <c r="M55" i="4"/>
  <c r="M91" i="4"/>
  <c r="G93" i="4"/>
  <c r="I102" i="4"/>
  <c r="M73" i="4"/>
  <c r="M69" i="4"/>
  <c r="M81" i="4"/>
  <c r="DJ17" i="1"/>
  <c r="DH16" i="1"/>
  <c r="M77" i="3"/>
  <c r="BV54" i="1"/>
  <c r="BU53" i="1"/>
  <c r="S53" i="1" s="1"/>
  <c r="E51" i="4" s="1"/>
  <c r="M55" i="1"/>
  <c r="CS12" i="11"/>
  <c r="CS95" i="11" s="1"/>
  <c r="CQ95" i="11"/>
  <c r="CD70" i="11"/>
  <c r="F70" i="11" s="1"/>
  <c r="I70" i="11" s="1"/>
  <c r="CE71" i="11"/>
  <c r="E53" i="3"/>
  <c r="K53" i="3" s="1"/>
  <c r="K53" i="4"/>
  <c r="V55" i="1"/>
  <c r="M81" i="3"/>
  <c r="M85" i="4"/>
  <c r="AN50" i="1"/>
  <c r="AN19" i="1"/>
  <c r="BE14" i="11"/>
  <c r="G93" i="3"/>
  <c r="G101" i="4" s="1"/>
  <c r="M69" i="3"/>
  <c r="C102" i="4"/>
  <c r="M83" i="4"/>
  <c r="A17" i="1"/>
  <c r="G102" i="4" l="1"/>
  <c r="BE13" i="11"/>
  <c r="AN49" i="1"/>
  <c r="CD69" i="11"/>
  <c r="F69" i="11" s="1"/>
  <c r="I69" i="11" s="1"/>
  <c r="J71" i="11"/>
  <c r="CE70" i="11"/>
  <c r="K52" i="4"/>
  <c r="M53" i="4" s="1"/>
  <c r="V54" i="1"/>
  <c r="E52" i="3"/>
  <c r="K52" i="3" s="1"/>
  <c r="M53" i="3" s="1"/>
  <c r="DJ16" i="1"/>
  <c r="DH15" i="1"/>
  <c r="AN18" i="1"/>
  <c r="BU52" i="1"/>
  <c r="BV53" i="1"/>
  <c r="A18" i="1"/>
  <c r="S52" i="1" l="1"/>
  <c r="E50" i="4" s="1"/>
  <c r="J53" i="1"/>
  <c r="A19" i="1"/>
  <c r="BV52" i="1"/>
  <c r="BU51" i="1"/>
  <c r="S51" i="1" s="1"/>
  <c r="E49" i="4" s="1"/>
  <c r="M53" i="1"/>
  <c r="CE69" i="11"/>
  <c r="CD68" i="11"/>
  <c r="F68" i="11" s="1"/>
  <c r="I68" i="11" s="1"/>
  <c r="DH14" i="1"/>
  <c r="DJ15" i="1"/>
  <c r="AN48" i="1"/>
  <c r="E51" i="3"/>
  <c r="K51" i="3" s="1"/>
  <c r="K51" i="4"/>
  <c r="V53" i="1"/>
  <c r="AN17" i="1"/>
  <c r="BE12" i="11"/>
  <c r="BE95" i="11" s="1"/>
  <c r="BC95" i="11"/>
  <c r="AN16" i="1" l="1"/>
  <c r="DH13" i="1"/>
  <c r="DJ14" i="1"/>
  <c r="AN47" i="1"/>
  <c r="CD67" i="11"/>
  <c r="F67" i="11" s="1"/>
  <c r="I67" i="11" s="1"/>
  <c r="J69" i="11"/>
  <c r="CE68" i="11"/>
  <c r="E50" i="3"/>
  <c r="K50" i="3" s="1"/>
  <c r="M51" i="3" s="1"/>
  <c r="K50" i="4"/>
  <c r="M51" i="4" s="1"/>
  <c r="V52" i="1"/>
  <c r="BU50" i="1"/>
  <c r="BV51" i="1"/>
  <c r="A20" i="1"/>
  <c r="S50" i="1" l="1"/>
  <c r="E48" i="4" s="1"/>
  <c r="J51" i="1"/>
  <c r="M51" i="1" s="1"/>
  <c r="BU49" i="1"/>
  <c r="S49" i="1" s="1"/>
  <c r="E47" i="4" s="1"/>
  <c r="BV50" i="1"/>
  <c r="AN46" i="1"/>
  <c r="AN15" i="1"/>
  <c r="E49" i="3"/>
  <c r="K49" i="3" s="1"/>
  <c r="K49" i="4"/>
  <c r="V51" i="1"/>
  <c r="CD66" i="11"/>
  <c r="F66" i="11" s="1"/>
  <c r="I66" i="11" s="1"/>
  <c r="CE67" i="11"/>
  <c r="A21" i="1"/>
  <c r="DJ13" i="1"/>
  <c r="DH12" i="1"/>
  <c r="E48" i="3" l="1"/>
  <c r="K48" i="3" s="1"/>
  <c r="M49" i="3" s="1"/>
  <c r="K48" i="4"/>
  <c r="M49" i="4" s="1"/>
  <c r="V50" i="1"/>
  <c r="CE66" i="11"/>
  <c r="J67" i="11"/>
  <c r="CD65" i="11"/>
  <c r="F65" i="11" s="1"/>
  <c r="I65" i="11" s="1"/>
  <c r="DH95" i="1"/>
  <c r="DJ12" i="1"/>
  <c r="DJ95" i="1" s="1"/>
  <c r="A22" i="1"/>
  <c r="AN14" i="1"/>
  <c r="AN45" i="1"/>
  <c r="BU48" i="1"/>
  <c r="BV49" i="1"/>
  <c r="S48" i="1" l="1"/>
  <c r="E46" i="4" s="1"/>
  <c r="J49" i="1"/>
  <c r="A23" i="1"/>
  <c r="E47" i="3"/>
  <c r="K47" i="3" s="1"/>
  <c r="K47" i="4"/>
  <c r="V49" i="1"/>
  <c r="AN44" i="1"/>
  <c r="BU47" i="1"/>
  <c r="S47" i="1" s="1"/>
  <c r="E45" i="4" s="1"/>
  <c r="BV48" i="1"/>
  <c r="M49" i="1"/>
  <c r="CD64" i="11"/>
  <c r="F64" i="11" s="1"/>
  <c r="I64" i="11" s="1"/>
  <c r="CE65" i="11"/>
  <c r="J65" i="11" l="1"/>
  <c r="CE64" i="11"/>
  <c r="CD63" i="11"/>
  <c r="F63" i="11" s="1"/>
  <c r="I63" i="11" s="1"/>
  <c r="AN43" i="1"/>
  <c r="BU46" i="1"/>
  <c r="BV47" i="1"/>
  <c r="E46" i="3"/>
  <c r="K46" i="3" s="1"/>
  <c r="M47" i="3" s="1"/>
  <c r="K46" i="4"/>
  <c r="M47" i="4" s="1"/>
  <c r="V48" i="1"/>
  <c r="A24" i="1"/>
  <c r="S46" i="1" l="1"/>
  <c r="E44" i="4" s="1"/>
  <c r="J47" i="1"/>
  <c r="AN42" i="1"/>
  <c r="BU45" i="1"/>
  <c r="S45" i="1" s="1"/>
  <c r="E43" i="4" s="1"/>
  <c r="BV46" i="1"/>
  <c r="M47" i="1"/>
  <c r="CE63" i="11"/>
  <c r="CD62" i="11"/>
  <c r="F62" i="11" s="1"/>
  <c r="I62" i="11" s="1"/>
  <c r="A25" i="1"/>
  <c r="E45" i="3"/>
  <c r="K45" i="3" s="1"/>
  <c r="K45" i="4"/>
  <c r="V47" i="1"/>
  <c r="E44" i="3" l="1"/>
  <c r="K44" i="3" s="1"/>
  <c r="M45" i="3" s="1"/>
  <c r="K44" i="4"/>
  <c r="M45" i="4" s="1"/>
  <c r="V46" i="1"/>
  <c r="AN41" i="1"/>
  <c r="J63" i="11"/>
  <c r="CE62" i="11"/>
  <c r="CD61" i="11"/>
  <c r="F61" i="11" s="1"/>
  <c r="I61" i="11" s="1"/>
  <c r="A26" i="1"/>
  <c r="BU44" i="1"/>
  <c r="BV45" i="1"/>
  <c r="S44" i="1" l="1"/>
  <c r="E42" i="4" s="1"/>
  <c r="J45" i="1"/>
  <c r="M45" i="1" s="1"/>
  <c r="A27" i="1"/>
  <c r="E43" i="3"/>
  <c r="K43" i="3" s="1"/>
  <c r="K43" i="4"/>
  <c r="V45" i="1"/>
  <c r="BU43" i="1"/>
  <c r="S43" i="1" s="1"/>
  <c r="E41" i="4" s="1"/>
  <c r="BV44" i="1"/>
  <c r="CE61" i="11"/>
  <c r="CD60" i="11"/>
  <c r="F60" i="11" s="1"/>
  <c r="I60" i="11" s="1"/>
  <c r="AN40" i="1"/>
  <c r="BU42" i="1" l="1"/>
  <c r="BV43" i="1"/>
  <c r="E42" i="3"/>
  <c r="K42" i="3" s="1"/>
  <c r="M43" i="3" s="1"/>
  <c r="K42" i="4"/>
  <c r="M43" i="4" s="1"/>
  <c r="V44" i="1"/>
  <c r="AN39" i="1"/>
  <c r="J61" i="11"/>
  <c r="CD59" i="11"/>
  <c r="F59" i="11" s="1"/>
  <c r="I59" i="11" s="1"/>
  <c r="CE60" i="11"/>
  <c r="A28" i="1"/>
  <c r="S42" i="1" l="1"/>
  <c r="E40" i="4" s="1"/>
  <c r="J43" i="1"/>
  <c r="M43" i="1" s="1"/>
  <c r="A29" i="1"/>
  <c r="CE59" i="11"/>
  <c r="CD58" i="11"/>
  <c r="F58" i="11" s="1"/>
  <c r="I58" i="11" s="1"/>
  <c r="AN38" i="1"/>
  <c r="E41" i="3"/>
  <c r="K41" i="3" s="1"/>
  <c r="K41" i="4"/>
  <c r="V43" i="1"/>
  <c r="BU41" i="1"/>
  <c r="S41" i="1" s="1"/>
  <c r="E39" i="4" s="1"/>
  <c r="BV42" i="1"/>
  <c r="AN37" i="1" l="1"/>
  <c r="C29" i="1"/>
  <c r="D29" i="1" s="1"/>
  <c r="A30" i="1"/>
  <c r="BU40" i="1"/>
  <c r="BV41" i="1"/>
  <c r="J59" i="11"/>
  <c r="CD57" i="11"/>
  <c r="F57" i="11" s="1"/>
  <c r="I57" i="11" s="1"/>
  <c r="CE58" i="11"/>
  <c r="E40" i="3"/>
  <c r="K40" i="3" s="1"/>
  <c r="M41" i="3" s="1"/>
  <c r="C28" i="1" s="1"/>
  <c r="D28" i="1" s="1"/>
  <c r="K40" i="4"/>
  <c r="M41" i="4" s="1"/>
  <c r="V42" i="1"/>
  <c r="S40" i="1" l="1"/>
  <c r="E38" i="4" s="1"/>
  <c r="J41" i="1"/>
  <c r="M41" i="1" s="1"/>
  <c r="CE57" i="11"/>
  <c r="CD56" i="11"/>
  <c r="F56" i="11" s="1"/>
  <c r="I56" i="11" s="1"/>
  <c r="BU39" i="1"/>
  <c r="S39" i="1" s="1"/>
  <c r="E37" i="4" s="1"/>
  <c r="BV40" i="1"/>
  <c r="A31" i="1"/>
  <c r="C30" i="1"/>
  <c r="D30" i="1" s="1"/>
  <c r="AN36" i="1"/>
  <c r="K39" i="4"/>
  <c r="V41" i="1"/>
  <c r="E39" i="3"/>
  <c r="K39" i="3" s="1"/>
  <c r="AN35" i="1" l="1"/>
  <c r="BU38" i="1"/>
  <c r="BV39" i="1"/>
  <c r="C31" i="1"/>
  <c r="D31" i="1" s="1"/>
  <c r="A32" i="1"/>
  <c r="J57" i="11"/>
  <c r="CE56" i="11"/>
  <c r="CD55" i="11"/>
  <c r="F55" i="11" s="1"/>
  <c r="I55" i="11" s="1"/>
  <c r="E38" i="3"/>
  <c r="K38" i="3" s="1"/>
  <c r="M39" i="3" s="1"/>
  <c r="C27" i="1" s="1"/>
  <c r="D27" i="1" s="1"/>
  <c r="K38" i="4"/>
  <c r="M39" i="4" s="1"/>
  <c r="V40" i="1"/>
  <c r="J39" i="1" l="1"/>
  <c r="S38" i="1"/>
  <c r="E36" i="4" s="1"/>
  <c r="E37" i="3"/>
  <c r="K37" i="3" s="1"/>
  <c r="K37" i="4"/>
  <c r="V39" i="1"/>
  <c r="CD54" i="11"/>
  <c r="F54" i="11" s="1"/>
  <c r="I54" i="11" s="1"/>
  <c r="CE55" i="11"/>
  <c r="BU37" i="1"/>
  <c r="S37" i="1" s="1"/>
  <c r="E35" i="4" s="1"/>
  <c r="BV38" i="1"/>
  <c r="M39" i="1"/>
  <c r="C32" i="1"/>
  <c r="D32" i="1" s="1"/>
  <c r="A33" i="1"/>
  <c r="AN34" i="1"/>
  <c r="BU36" i="1" l="1"/>
  <c r="BV37" i="1"/>
  <c r="AN33" i="1"/>
  <c r="K36" i="4"/>
  <c r="M37" i="4" s="1"/>
  <c r="E36" i="3"/>
  <c r="K36" i="3" s="1"/>
  <c r="M37" i="3" s="1"/>
  <c r="C26" i="1" s="1"/>
  <c r="D26" i="1" s="1"/>
  <c r="V38" i="1"/>
  <c r="C33" i="1"/>
  <c r="D33" i="1" s="1"/>
  <c r="A34" i="1"/>
  <c r="J55" i="11"/>
  <c r="CD53" i="11"/>
  <c r="F53" i="11" s="1"/>
  <c r="I53" i="11" s="1"/>
  <c r="CE54" i="11"/>
  <c r="S36" i="1" l="1"/>
  <c r="E34" i="4" s="1"/>
  <c r="J37" i="1"/>
  <c r="E35" i="3"/>
  <c r="K35" i="3" s="1"/>
  <c r="K35" i="4"/>
  <c r="V37" i="1"/>
  <c r="CE53" i="11"/>
  <c r="CD52" i="11"/>
  <c r="F52" i="11" s="1"/>
  <c r="I52" i="11" s="1"/>
  <c r="A35" i="1"/>
  <c r="C34" i="1"/>
  <c r="D34" i="1" s="1"/>
  <c r="AN32" i="1"/>
  <c r="BU35" i="1"/>
  <c r="S35" i="1" s="1"/>
  <c r="E33" i="4" s="1"/>
  <c r="BV36" i="1"/>
  <c r="M37" i="1"/>
  <c r="C35" i="1" l="1"/>
  <c r="D35" i="1" s="1"/>
  <c r="A36" i="1"/>
  <c r="BU34" i="1"/>
  <c r="BV35" i="1"/>
  <c r="AN31" i="1"/>
  <c r="E34" i="3"/>
  <c r="K34" i="3" s="1"/>
  <c r="M35" i="3" s="1"/>
  <c r="C25" i="1" s="1"/>
  <c r="D25" i="1" s="1"/>
  <c r="K34" i="4"/>
  <c r="M35" i="4" s="1"/>
  <c r="V36" i="1"/>
  <c r="CE52" i="11"/>
  <c r="J53" i="11"/>
  <c r="CD51" i="11"/>
  <c r="F51" i="11" s="1"/>
  <c r="I51" i="11" s="1"/>
  <c r="S34" i="1" l="1"/>
  <c r="E32" i="4" s="1"/>
  <c r="J35" i="1"/>
  <c r="BU33" i="1"/>
  <c r="S33" i="1" s="1"/>
  <c r="E31" i="4" s="1"/>
  <c r="BV34" i="1"/>
  <c r="M35" i="1"/>
  <c r="CD50" i="11"/>
  <c r="F50" i="11" s="1"/>
  <c r="I50" i="11" s="1"/>
  <c r="CE51" i="11"/>
  <c r="AN30" i="1"/>
  <c r="C36" i="1"/>
  <c r="D36" i="1" s="1"/>
  <c r="A37" i="1"/>
  <c r="E33" i="3"/>
  <c r="K33" i="3" s="1"/>
  <c r="K33" i="4"/>
  <c r="V35" i="1"/>
  <c r="C37" i="1" l="1"/>
  <c r="D37" i="1" s="1"/>
  <c r="A38" i="1"/>
  <c r="AN29" i="1"/>
  <c r="E32" i="3"/>
  <c r="K32" i="3" s="1"/>
  <c r="M33" i="3" s="1"/>
  <c r="C24" i="1" s="1"/>
  <c r="D24" i="1" s="1"/>
  <c r="K32" i="4"/>
  <c r="M33" i="4" s="1"/>
  <c r="V34" i="1"/>
  <c r="CE50" i="11"/>
  <c r="CD49" i="11"/>
  <c r="F49" i="11" s="1"/>
  <c r="I49" i="11" s="1"/>
  <c r="J51" i="11"/>
  <c r="BU32" i="1"/>
  <c r="BV33" i="1"/>
  <c r="S32" i="1" l="1"/>
  <c r="E30" i="4" s="1"/>
  <c r="J33" i="1"/>
  <c r="E31" i="3"/>
  <c r="K31" i="3" s="1"/>
  <c r="K31" i="4"/>
  <c r="V33" i="1"/>
  <c r="CD48" i="11"/>
  <c r="F48" i="11" s="1"/>
  <c r="I48" i="11" s="1"/>
  <c r="CE49" i="11"/>
  <c r="A39" i="1"/>
  <c r="C38" i="1"/>
  <c r="D38" i="1" s="1"/>
  <c r="BU31" i="1"/>
  <c r="S31" i="1" s="1"/>
  <c r="E29" i="4" s="1"/>
  <c r="BV32" i="1"/>
  <c r="M33" i="1"/>
  <c r="AN28" i="1"/>
  <c r="E30" i="3" l="1"/>
  <c r="K30" i="3" s="1"/>
  <c r="M31" i="3" s="1"/>
  <c r="C23" i="1" s="1"/>
  <c r="D23" i="1" s="1"/>
  <c r="K30" i="4"/>
  <c r="M31" i="4" s="1"/>
  <c r="V32" i="1"/>
  <c r="CD47" i="11"/>
  <c r="F47" i="11" s="1"/>
  <c r="I47" i="11" s="1"/>
  <c r="J49" i="11"/>
  <c r="CE48" i="11"/>
  <c r="C39" i="1"/>
  <c r="D39" i="1" s="1"/>
  <c r="A40" i="1"/>
  <c r="BU30" i="1"/>
  <c r="BV31" i="1"/>
  <c r="AN27" i="1"/>
  <c r="S30" i="1" l="1"/>
  <c r="E28" i="4" s="1"/>
  <c r="J31" i="1"/>
  <c r="M31" i="1" s="1"/>
  <c r="O95" i="11"/>
  <c r="CD46" i="11"/>
  <c r="F46" i="11" s="1"/>
  <c r="I46" i="11" s="1"/>
  <c r="CE47" i="11"/>
  <c r="AN26" i="1"/>
  <c r="BU29" i="1"/>
  <c r="S29" i="1" s="1"/>
  <c r="E27" i="4" s="1"/>
  <c r="BV30" i="1"/>
  <c r="E29" i="3"/>
  <c r="K29" i="3" s="1"/>
  <c r="K29" i="4"/>
  <c r="V31" i="1"/>
  <c r="C40" i="1"/>
  <c r="D40" i="1" s="1"/>
  <c r="A41" i="1"/>
  <c r="BU28" i="1" l="1"/>
  <c r="BV29" i="1"/>
  <c r="E28" i="3"/>
  <c r="K28" i="3" s="1"/>
  <c r="M29" i="3" s="1"/>
  <c r="C22" i="1" s="1"/>
  <c r="D22" i="1" s="1"/>
  <c r="K28" i="4"/>
  <c r="M29" i="4" s="1"/>
  <c r="V30" i="1"/>
  <c r="AN25" i="1"/>
  <c r="C41" i="1"/>
  <c r="D41" i="1" s="1"/>
  <c r="A42" i="1"/>
  <c r="CE46" i="11"/>
  <c r="CD45" i="11"/>
  <c r="F45" i="11" s="1"/>
  <c r="I45" i="11" s="1"/>
  <c r="J47" i="11"/>
  <c r="S28" i="1" l="1"/>
  <c r="E26" i="4" s="1"/>
  <c r="J29" i="1"/>
  <c r="A43" i="1"/>
  <c r="C42" i="1"/>
  <c r="D42" i="1" s="1"/>
  <c r="AN24" i="1"/>
  <c r="AN95" i="1" s="1"/>
  <c r="AK95" i="1"/>
  <c r="E27" i="3"/>
  <c r="K27" i="3" s="1"/>
  <c r="K27" i="4"/>
  <c r="V29" i="1"/>
  <c r="CE45" i="11"/>
  <c r="CD44" i="11"/>
  <c r="F44" i="11" s="1"/>
  <c r="I44" i="11" s="1"/>
  <c r="BU27" i="1"/>
  <c r="S27" i="1" s="1"/>
  <c r="E25" i="4" s="1"/>
  <c r="BV28" i="1"/>
  <c r="M29" i="1"/>
  <c r="BV27" i="1" l="1"/>
  <c r="BU26" i="1"/>
  <c r="E26" i="3"/>
  <c r="K26" i="3" s="1"/>
  <c r="M27" i="3" s="1"/>
  <c r="C21" i="1" s="1"/>
  <c r="D21" i="1" s="1"/>
  <c r="K26" i="4"/>
  <c r="M27" i="4" s="1"/>
  <c r="V28" i="1"/>
  <c r="CD43" i="11"/>
  <c r="F43" i="11" s="1"/>
  <c r="I43" i="11" s="1"/>
  <c r="J45" i="11"/>
  <c r="CE44" i="11"/>
  <c r="C43" i="1"/>
  <c r="D43" i="1" s="1"/>
  <c r="A44" i="1"/>
  <c r="S26" i="1" l="1"/>
  <c r="E24" i="4" s="1"/>
  <c r="J27" i="1"/>
  <c r="C44" i="1"/>
  <c r="D44" i="1" s="1"/>
  <c r="A45" i="1"/>
  <c r="CD42" i="11"/>
  <c r="F42" i="11" s="1"/>
  <c r="I42" i="11" s="1"/>
  <c r="CE43" i="11"/>
  <c r="E25" i="3"/>
  <c r="K25" i="3" s="1"/>
  <c r="K25" i="4"/>
  <c r="V27" i="1"/>
  <c r="BU25" i="1"/>
  <c r="S25" i="1" s="1"/>
  <c r="E23" i="4" s="1"/>
  <c r="BV26" i="1"/>
  <c r="M27" i="1"/>
  <c r="CE42" i="11" l="1"/>
  <c r="CD41" i="11"/>
  <c r="F41" i="11" s="1"/>
  <c r="I41" i="11" s="1"/>
  <c r="J43" i="11"/>
  <c r="E24" i="3"/>
  <c r="K24" i="3" s="1"/>
  <c r="M25" i="3" s="1"/>
  <c r="C20" i="1" s="1"/>
  <c r="D20" i="1" s="1"/>
  <c r="K24" i="4"/>
  <c r="M25" i="4" s="1"/>
  <c r="V26" i="1"/>
  <c r="C45" i="1"/>
  <c r="D45" i="1" s="1"/>
  <c r="A46" i="1"/>
  <c r="BU24" i="1"/>
  <c r="BV25" i="1"/>
  <c r="S24" i="1" l="1"/>
  <c r="E22" i="4" s="1"/>
  <c r="J25" i="1"/>
  <c r="M25" i="1" s="1"/>
  <c r="BV24" i="1"/>
  <c r="BU23" i="1"/>
  <c r="S23" i="1" s="1"/>
  <c r="E21" i="4" s="1"/>
  <c r="CE41" i="11"/>
  <c r="CD40" i="11"/>
  <c r="F40" i="11" s="1"/>
  <c r="I40" i="11" s="1"/>
  <c r="K23" i="4"/>
  <c r="E23" i="3"/>
  <c r="K23" i="3" s="1"/>
  <c r="V25" i="1"/>
  <c r="A47" i="1"/>
  <c r="C46" i="1"/>
  <c r="D46" i="1" s="1"/>
  <c r="E22" i="3" l="1"/>
  <c r="K22" i="3" s="1"/>
  <c r="M23" i="3" s="1"/>
  <c r="C19" i="1" s="1"/>
  <c r="D19" i="1" s="1"/>
  <c r="K22" i="4"/>
  <c r="M23" i="4" s="1"/>
  <c r="V24" i="1"/>
  <c r="J41" i="11"/>
  <c r="CD39" i="11"/>
  <c r="F39" i="11" s="1"/>
  <c r="I39" i="11" s="1"/>
  <c r="CE40" i="11"/>
  <c r="BU22" i="1"/>
  <c r="BV23" i="1"/>
  <c r="C47" i="1"/>
  <c r="D47" i="1" s="1"/>
  <c r="A48" i="1"/>
  <c r="S22" i="1" l="1"/>
  <c r="E20" i="4" s="1"/>
  <c r="J23" i="1"/>
  <c r="M23" i="1" s="1"/>
  <c r="BU21" i="1"/>
  <c r="S21" i="1" s="1"/>
  <c r="E19" i="4" s="1"/>
  <c r="BV22" i="1"/>
  <c r="E21" i="3"/>
  <c r="K21" i="3" s="1"/>
  <c r="K21" i="4"/>
  <c r="V23" i="1"/>
  <c r="C48" i="1"/>
  <c r="D48" i="1" s="1"/>
  <c r="A49" i="1"/>
  <c r="CD38" i="11"/>
  <c r="F38" i="11" s="1"/>
  <c r="I38" i="11" s="1"/>
  <c r="CE39" i="11"/>
  <c r="J39" i="11" l="1"/>
  <c r="CE38" i="11"/>
  <c r="CD37" i="11"/>
  <c r="F37" i="11" s="1"/>
  <c r="I37" i="11" s="1"/>
  <c r="E20" i="3"/>
  <c r="K20" i="3" s="1"/>
  <c r="M21" i="3" s="1"/>
  <c r="C18" i="1" s="1"/>
  <c r="D18" i="1" s="1"/>
  <c r="K20" i="4"/>
  <c r="M21" i="4" s="1"/>
  <c r="V22" i="1"/>
  <c r="C49" i="1"/>
  <c r="D49" i="1" s="1"/>
  <c r="A50" i="1"/>
  <c r="BU20" i="1"/>
  <c r="BV21" i="1"/>
  <c r="S20" i="1" l="1"/>
  <c r="E18" i="4" s="1"/>
  <c r="J21" i="1"/>
  <c r="M21" i="1" s="1"/>
  <c r="CD36" i="11"/>
  <c r="F36" i="11" s="1"/>
  <c r="I36" i="11" s="1"/>
  <c r="CE37" i="11"/>
  <c r="BV20" i="1"/>
  <c r="BU19" i="1"/>
  <c r="S19" i="1" s="1"/>
  <c r="E17" i="4" s="1"/>
  <c r="E19" i="3"/>
  <c r="K19" i="3" s="1"/>
  <c r="K19" i="4"/>
  <c r="V21" i="1"/>
  <c r="A51" i="1"/>
  <c r="C50" i="1"/>
  <c r="D50" i="1" s="1"/>
  <c r="C51" i="1" l="1"/>
  <c r="D51" i="1" s="1"/>
  <c r="A52" i="1"/>
  <c r="E18" i="3"/>
  <c r="K18" i="3" s="1"/>
  <c r="M19" i="3" s="1"/>
  <c r="C17" i="1" s="1"/>
  <c r="D17" i="1" s="1"/>
  <c r="K18" i="4"/>
  <c r="M19" i="4" s="1"/>
  <c r="V20" i="1"/>
  <c r="J37" i="11"/>
  <c r="CE36" i="11"/>
  <c r="CD35" i="11"/>
  <c r="F35" i="11" s="1"/>
  <c r="I35" i="11" s="1"/>
  <c r="BU18" i="1"/>
  <c r="BV19" i="1"/>
  <c r="S18" i="1" l="1"/>
  <c r="E16" i="4" s="1"/>
  <c r="J19" i="1"/>
  <c r="C52" i="1"/>
  <c r="D52" i="1" s="1"/>
  <c r="A53" i="1"/>
  <c r="E17" i="3"/>
  <c r="K17" i="3" s="1"/>
  <c r="K17" i="4"/>
  <c r="V19" i="1"/>
  <c r="BU17" i="1"/>
  <c r="S17" i="1" s="1"/>
  <c r="E15" i="4" s="1"/>
  <c r="BV18" i="1"/>
  <c r="M19" i="1"/>
  <c r="CD34" i="11"/>
  <c r="F34" i="11" s="1"/>
  <c r="I34" i="11" s="1"/>
  <c r="CE35" i="11"/>
  <c r="CD33" i="11" l="1"/>
  <c r="F33" i="11" s="1"/>
  <c r="I33" i="11" s="1"/>
  <c r="J35" i="11"/>
  <c r="CE34" i="11"/>
  <c r="BU16" i="1"/>
  <c r="BV17" i="1"/>
  <c r="C53" i="1"/>
  <c r="D53" i="1" s="1"/>
  <c r="E16" i="3"/>
  <c r="K16" i="3" s="1"/>
  <c r="M17" i="3" s="1"/>
  <c r="C16" i="1" s="1"/>
  <c r="D16" i="1" s="1"/>
  <c r="K16" i="4"/>
  <c r="M17" i="4" s="1"/>
  <c r="V18" i="1"/>
  <c r="S16" i="1" l="1"/>
  <c r="E14" i="4" s="1"/>
  <c r="J17" i="1"/>
  <c r="M17" i="1" s="1"/>
  <c r="E15" i="3"/>
  <c r="K15" i="3" s="1"/>
  <c r="K15" i="4"/>
  <c r="V17" i="1"/>
  <c r="BU15" i="1"/>
  <c r="S15" i="1" s="1"/>
  <c r="E13" i="4" s="1"/>
  <c r="BV16" i="1"/>
  <c r="CE33" i="11"/>
  <c r="CD32" i="11"/>
  <c r="F32" i="11" s="1"/>
  <c r="I32" i="11" s="1"/>
  <c r="E14" i="3" l="1"/>
  <c r="K14" i="3" s="1"/>
  <c r="M15" i="3" s="1"/>
  <c r="C15" i="1" s="1"/>
  <c r="D15" i="1" s="1"/>
  <c r="K14" i="4"/>
  <c r="M15" i="4" s="1"/>
  <c r="V16" i="1"/>
  <c r="CD31" i="11"/>
  <c r="F31" i="11" s="1"/>
  <c r="I31" i="11" s="1"/>
  <c r="J33" i="11"/>
  <c r="CE32" i="11"/>
  <c r="BU14" i="1"/>
  <c r="BV15" i="1"/>
  <c r="S14" i="1" l="1"/>
  <c r="E12" i="4" s="1"/>
  <c r="J15" i="1"/>
  <c r="M15" i="1" s="1"/>
  <c r="CD30" i="11"/>
  <c r="F30" i="11" s="1"/>
  <c r="I30" i="11" s="1"/>
  <c r="CE31" i="11"/>
  <c r="BU13" i="1"/>
  <c r="S13" i="1" s="1"/>
  <c r="E11" i="4" s="1"/>
  <c r="BV14" i="1"/>
  <c r="E13" i="3"/>
  <c r="K13" i="3" s="1"/>
  <c r="K13" i="4"/>
  <c r="V15" i="1"/>
  <c r="BU12" i="1" l="1"/>
  <c r="BV13" i="1"/>
  <c r="E12" i="3"/>
  <c r="K12" i="3" s="1"/>
  <c r="M13" i="3" s="1"/>
  <c r="C14" i="1" s="1"/>
  <c r="D14" i="1" s="1"/>
  <c r="K12" i="4"/>
  <c r="M13" i="4" s="1"/>
  <c r="V14" i="1"/>
  <c r="CD29" i="11"/>
  <c r="F29" i="11" s="1"/>
  <c r="I29" i="11" s="1"/>
  <c r="J31" i="11"/>
  <c r="CE30" i="11"/>
  <c r="J13" i="1" l="1"/>
  <c r="S12" i="1"/>
  <c r="E10" i="4" s="1"/>
  <c r="BV12" i="1"/>
  <c r="BV95" i="1" s="1"/>
  <c r="BU95" i="1"/>
  <c r="CE29" i="11"/>
  <c r="CD28" i="11"/>
  <c r="F28" i="11" s="1"/>
  <c r="I28" i="11" s="1"/>
  <c r="E11" i="3"/>
  <c r="K11" i="3" s="1"/>
  <c r="K11" i="4"/>
  <c r="V13" i="1"/>
  <c r="E10" i="3" l="1"/>
  <c r="J29" i="11"/>
  <c r="CE28" i="11"/>
  <c r="CD27" i="11"/>
  <c r="F27" i="11" s="1"/>
  <c r="I27" i="11" s="1"/>
  <c r="M13" i="1"/>
  <c r="M95" i="1" s="1"/>
  <c r="C2" i="1" s="1"/>
  <c r="J95" i="1"/>
  <c r="S95" i="1"/>
  <c r="V12" i="1"/>
  <c r="V95" i="1" s="1"/>
  <c r="E93" i="4" l="1"/>
  <c r="K10" i="4"/>
  <c r="CD26" i="11"/>
  <c r="F26" i="11" s="1"/>
  <c r="I26" i="11" s="1"/>
  <c r="CE27" i="11"/>
  <c r="K10" i="3"/>
  <c r="E93" i="3"/>
  <c r="E101" i="4" s="1"/>
  <c r="CE26" i="11" l="1"/>
  <c r="J27" i="11"/>
  <c r="CD25" i="11"/>
  <c r="F25" i="11" s="1"/>
  <c r="I25" i="11" s="1"/>
  <c r="K93" i="3"/>
  <c r="K101" i="4" s="1"/>
  <c r="M11" i="3"/>
  <c r="M11" i="4"/>
  <c r="M93" i="4" s="1"/>
  <c r="K93" i="4"/>
  <c r="E102" i="4"/>
  <c r="K102" i="4" l="1"/>
  <c r="CD24" i="11"/>
  <c r="F24" i="11" s="1"/>
  <c r="I24" i="11" s="1"/>
  <c r="CE25" i="11"/>
  <c r="M93" i="3"/>
  <c r="C13" i="1"/>
  <c r="D13" i="1" s="1"/>
  <c r="J25" i="11" l="1"/>
  <c r="CE24" i="11"/>
  <c r="CD23" i="11"/>
  <c r="F23" i="11" s="1"/>
  <c r="I23" i="11" s="1"/>
  <c r="M101" i="4"/>
  <c r="C3" i="1"/>
  <c r="CD22" i="11" l="1"/>
  <c r="F22" i="11" s="1"/>
  <c r="I22" i="11" s="1"/>
  <c r="CE23" i="11"/>
  <c r="J23" i="11" l="1"/>
  <c r="CE22" i="11"/>
  <c r="CD21" i="11"/>
  <c r="F21" i="11" s="1"/>
  <c r="I21" i="11" s="1"/>
  <c r="CE21" i="11" l="1"/>
  <c r="CD20" i="11"/>
  <c r="F20" i="11" s="1"/>
  <c r="I20" i="11" s="1"/>
  <c r="J21" i="11" l="1"/>
  <c r="CE20" i="11"/>
  <c r="CD19" i="11"/>
  <c r="F19" i="11" s="1"/>
  <c r="I19" i="11" s="1"/>
  <c r="CD18" i="11" l="1"/>
  <c r="F18" i="11" s="1"/>
  <c r="I18" i="11" s="1"/>
  <c r="CE19" i="11"/>
  <c r="CE18" i="11" l="1"/>
  <c r="CD17" i="11"/>
  <c r="F17" i="11" s="1"/>
  <c r="I17" i="11" s="1"/>
  <c r="J19" i="11"/>
  <c r="CE17" i="11" l="1"/>
  <c r="CD16" i="11"/>
  <c r="F16" i="11" s="1"/>
  <c r="I16" i="11" s="1"/>
  <c r="J17" i="11" l="1"/>
  <c r="CD15" i="11"/>
  <c r="F15" i="11" s="1"/>
  <c r="I15" i="11" s="1"/>
  <c r="CE16" i="11"/>
  <c r="CE15" i="11" l="1"/>
  <c r="CD14" i="11"/>
  <c r="F14" i="11" s="1"/>
  <c r="I14" i="11" s="1"/>
  <c r="CD13" i="11" l="1"/>
  <c r="F13" i="11" s="1"/>
  <c r="I13" i="11" s="1"/>
  <c r="CE14" i="11"/>
  <c r="J15" i="11"/>
  <c r="F12" i="11" l="1"/>
  <c r="I12" i="11" s="1"/>
  <c r="J13" i="11" s="1"/>
  <c r="CE13" i="11"/>
  <c r="CD95" i="11" l="1"/>
  <c r="CE12" i="11"/>
  <c r="CE95" i="11" s="1"/>
  <c r="F95" i="11" l="1"/>
  <c r="I95" i="11" l="1"/>
  <c r="J95" i="11"/>
</calcChain>
</file>

<file path=xl/sharedStrings.xml><?xml version="1.0" encoding="utf-8"?>
<sst xmlns="http://schemas.openxmlformats.org/spreadsheetml/2006/main" count="908" uniqueCount="131">
  <si>
    <t>Par Amount</t>
  </si>
  <si>
    <t>Series 2019A</t>
  </si>
  <si>
    <t>Memo:</t>
  </si>
  <si>
    <t>MBE/WBE</t>
  </si>
  <si>
    <t>Amounts</t>
  </si>
  <si>
    <t>Discretionary</t>
  </si>
  <si>
    <t>WBE</t>
  </si>
  <si>
    <t>MBE</t>
  </si>
  <si>
    <t>Goldman, Sachs &amp; Co.</t>
  </si>
  <si>
    <t xml:space="preserve">    Total Takedown</t>
  </si>
  <si>
    <t>Chapman and Cutler LLP (Underwriter's Counsel)</t>
  </si>
  <si>
    <t>DTC</t>
  </si>
  <si>
    <t>CUSIP Fee</t>
  </si>
  <si>
    <t xml:space="preserve">    Total Underwriter's fees</t>
  </si>
  <si>
    <t>Katten Muchin Rosenmann (Bond Counsel)</t>
  </si>
  <si>
    <t>Burke Burns &amp; Pinelli (Issuer's Counsel)</t>
  </si>
  <si>
    <t>Charity &amp; Associates (Disclosure Counsel)</t>
  </si>
  <si>
    <t>PFM Financial (Financial Advisor)</t>
  </si>
  <si>
    <t>TBD (Escrow Bidding Agent)</t>
  </si>
  <si>
    <t>Amalgamated Bank (Trustee)</t>
  </si>
  <si>
    <t>Zions Bank (Escrow Trustee)</t>
  </si>
  <si>
    <t>Image Master (Print/Roadshow)</t>
  </si>
  <si>
    <t>MPEA Misc Expenses</t>
  </si>
  <si>
    <t xml:space="preserve">    Total Cost Of Issuance</t>
  </si>
  <si>
    <t>Costs of Issuance less Underwriter's fees</t>
  </si>
  <si>
    <t>Principal</t>
  </si>
  <si>
    <t>Interest Payment</t>
  </si>
  <si>
    <t>Date</t>
  </si>
  <si>
    <t>Maturity Schedule as of</t>
  </si>
  <si>
    <t>Coupon</t>
  </si>
  <si>
    <t>Rate</t>
  </si>
  <si>
    <t>%</t>
  </si>
  <si>
    <t>Principal to be</t>
  </si>
  <si>
    <t>Redeemed</t>
  </si>
  <si>
    <t>Interest Due</t>
  </si>
  <si>
    <t>Compounded</t>
  </si>
  <si>
    <t>Interest</t>
  </si>
  <si>
    <t>Capitalized</t>
  </si>
  <si>
    <t>Debt Service</t>
  </si>
  <si>
    <t>Bond Interest and Redemption Schedule</t>
  </si>
  <si>
    <t>Totals</t>
  </si>
  <si>
    <t>Total Expansion Project Bonds Debt Service</t>
  </si>
  <si>
    <t>(After Series 2019A Expansion Project Bond Issuance)</t>
  </si>
  <si>
    <t>Annual</t>
  </si>
  <si>
    <t>Unrefunded Prior Expansion Project Bonds Debt Service</t>
  </si>
  <si>
    <t>Reconciliation</t>
  </si>
  <si>
    <t>Total Debt Service</t>
  </si>
  <si>
    <t>Difference</t>
  </si>
  <si>
    <t>METROPOLITAN PIER AND EXPOSITION AUTHORITY</t>
  </si>
  <si>
    <t>Outstanding Debt Service by Series</t>
  </si>
  <si>
    <t>Check to Cash Flow Model</t>
  </si>
  <si>
    <t>Period</t>
  </si>
  <si>
    <t>Debt</t>
  </si>
  <si>
    <t>Ending</t>
  </si>
  <si>
    <t>Service</t>
  </si>
  <si>
    <t>Aggregate Debt Service</t>
  </si>
  <si>
    <t>Payment</t>
  </si>
  <si>
    <t xml:space="preserve">Capitalized </t>
  </si>
  <si>
    <t>Expansion Project Bonds, 2017A</t>
  </si>
  <si>
    <t>Aggregate Semi-Annual Debt Service</t>
  </si>
  <si>
    <t>Expansion Project Bonds, 2019A</t>
  </si>
  <si>
    <t>Expansion Project Bonds, 2017B</t>
  </si>
  <si>
    <t>Expansion Project Bonds, 2015A</t>
  </si>
  <si>
    <t>Expansion Project Bonds, 2015B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</si>
  <si>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</si>
  <si>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</si>
  <si>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</si>
  <si>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</si>
  <si>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</si>
  <si>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</si>
  <si>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</si>
  <si>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</si>
  <si>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</si>
  <si>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</si>
  <si>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</si>
  <si>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</si>
  <si>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</si>
  <si>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</si>
  <si>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Refunded Debt Service by Series</t>
  </si>
  <si>
    <t>Refunded Debt Service</t>
  </si>
  <si>
    <t>FY20 MPEA Expansion Project Bonds Debt Service</t>
  </si>
  <si>
    <t>Total Outstanding Debt Service</t>
  </si>
  <si>
    <t>2019A</t>
  </si>
  <si>
    <t>2017A</t>
  </si>
  <si>
    <t>2017B</t>
  </si>
  <si>
    <t>2015A</t>
  </si>
  <si>
    <t>2015B</t>
  </si>
  <si>
    <t>2012A</t>
  </si>
  <si>
    <t>2012B</t>
  </si>
  <si>
    <t>2012C</t>
  </si>
  <si>
    <t>2010A</t>
  </si>
  <si>
    <t>2010B</t>
  </si>
  <si>
    <t>2002A</t>
  </si>
  <si>
    <t>2002B</t>
  </si>
  <si>
    <t>1999D</t>
  </si>
  <si>
    <t>1998A</t>
  </si>
  <si>
    <t>1998B</t>
  </si>
  <si>
    <t>1996A</t>
  </si>
  <si>
    <t>1994A</t>
  </si>
  <si>
    <t>1994B</t>
  </si>
  <si>
    <t>1992A</t>
  </si>
  <si>
    <t>4.25%/5.45%</t>
  </si>
  <si>
    <t>5%/5.73%</t>
  </si>
  <si>
    <t>5%/5.50%/6%</t>
  </si>
  <si>
    <t>5%/5.50%</t>
  </si>
  <si>
    <t>5%/5.25%</t>
  </si>
  <si>
    <t>Various</t>
  </si>
  <si>
    <t>Expansion Project Bonds, 2020A</t>
  </si>
  <si>
    <t>Series 2020A</t>
  </si>
  <si>
    <t>4.00% / 5.00%</t>
  </si>
  <si>
    <t>MPEA 2020A Expansion Project Bond Deal</t>
  </si>
  <si>
    <t>Series 2020A Expansion Project Bonds</t>
  </si>
  <si>
    <t>(After Series 2020A Expansion Project Bond Issuance)</t>
  </si>
  <si>
    <t>2020A</t>
  </si>
  <si>
    <t>Final Cost Of Issuance</t>
  </si>
  <si>
    <t>Total</t>
  </si>
  <si>
    <t>Amount</t>
  </si>
  <si>
    <t>Morgan Stanley</t>
  </si>
  <si>
    <t>Loop Capital Markets</t>
  </si>
  <si>
    <t>Cabrera Capital Markets, LLC</t>
  </si>
  <si>
    <t>Mesirow Financial</t>
  </si>
  <si>
    <t>Structuring Fee:</t>
  </si>
  <si>
    <t>Internet Roadshow</t>
  </si>
  <si>
    <t>Dalcomp / Ipreo Order Monitoring</t>
  </si>
  <si>
    <t>Continuing Disclosure Review</t>
  </si>
  <si>
    <t>Travel/Misc</t>
  </si>
  <si>
    <t>Deloitte (Auditor Consent)</t>
  </si>
  <si>
    <t>S&amp;P</t>
  </si>
  <si>
    <t>Fitch</t>
  </si>
  <si>
    <t xml:space="preserve"> </t>
  </si>
  <si>
    <t>Precision Analytics Inc. (Verification Agent)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</si>
</sst>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0.000%"/>
    <numFmt numFmtId="168" formatCode="&quot;$&quot;#,##0"/>
    <numFmt numFmtId="169" formatCode="&quot;$&quot;#,##0.000"/>
    <numFmt numFmtId="170" formatCode="_(* #,##0_);_(* \(#,##0\);_(* &quot;-&quot;??_);_(@_)"/>
    <numFmt numFmtId="171" formatCode="m/d/yyyy\ h:mm\ AM/PM"/>
    <numFmt numFmtId="172" formatCode="_(* #,##0.0000_);_(* \(#,##0.0000\);_(* &quot;-&quot;??_);_(@_)"/>
  </numFmts>
  <fonts count="35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2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44"/>
      <name val="Times New Roman"/>
      <family val="1"/>
    </font>
    <font>
      <b/>
      <u/>
      <sz val="11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  <font>
      <sz val="10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10" fontId="4" fillId="0" borderId="0" xfId="4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4" fontId="10" fillId="0" borderId="2" xfId="0" applyNumberFormat="1" applyFont="1" applyBorder="1" applyAlignment="1">
      <alignment horizontal="left"/>
    </xf>
    <xf numFmtId="0" fontId="10" fillId="0" borderId="0" xfId="0" applyFont="1" applyBorder="1"/>
    <xf numFmtId="6" fontId="10" fillId="0" borderId="2" xfId="0" quotePrefix="1" applyNumberFormat="1" applyFont="1" applyBorder="1"/>
    <xf numFmtId="0" fontId="10" fillId="0" borderId="2" xfId="0" quotePrefix="1" applyFont="1" applyBorder="1"/>
    <xf numFmtId="14" fontId="10" fillId="0" borderId="2" xfId="0" applyNumberFormat="1" applyFont="1" applyBorder="1"/>
    <xf numFmtId="14" fontId="10" fillId="0" borderId="2" xfId="0" quotePrefix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Border="1" applyAlignment="1"/>
    <xf numFmtId="0" fontId="10" fillId="0" borderId="0" xfId="0" applyFont="1" applyBorder="1" applyAlignment="1"/>
    <xf numFmtId="0" fontId="11" fillId="0" borderId="0" xfId="0" applyFont="1" applyAlignment="1">
      <alignment horizontal="centerContinuous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0" fontId="5" fillId="0" borderId="0" xfId="0" applyFont="1" applyFill="1" applyBorder="1" applyAlignment="1"/>
    <xf numFmtId="16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/>
    </xf>
    <xf numFmtId="44" fontId="4" fillId="0" borderId="0" xfId="2" applyFont="1" applyFill="1" applyBorder="1"/>
    <xf numFmtId="44" fontId="4" fillId="0" borderId="1" xfId="2" applyFont="1" applyFill="1" applyBorder="1"/>
    <xf numFmtId="43" fontId="4" fillId="0" borderId="0" xfId="1" applyFont="1" applyFill="1" applyBorder="1"/>
    <xf numFmtId="0" fontId="7" fillId="0" borderId="0" xfId="0" applyFont="1"/>
    <xf numFmtId="14" fontId="4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4" fillId="0" borderId="5" xfId="0" applyNumberFormat="1" applyFont="1" applyFill="1" applyBorder="1"/>
    <xf numFmtId="164" fontId="16" fillId="0" borderId="0" xfId="0" applyNumberFormat="1" applyFont="1" applyFill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4" fontId="12" fillId="2" borderId="6" xfId="0" applyNumberFormat="1" applyFont="1" applyFill="1" applyBorder="1"/>
    <xf numFmtId="4" fontId="12" fillId="2" borderId="7" xfId="0" applyNumberFormat="1" applyFont="1" applyFill="1" applyBorder="1"/>
    <xf numFmtId="0" fontId="20" fillId="0" borderId="0" xfId="0" applyFont="1"/>
    <xf numFmtId="0" fontId="21" fillId="0" borderId="1" xfId="0" applyFont="1" applyFill="1" applyBorder="1"/>
    <xf numFmtId="0" fontId="12" fillId="0" borderId="1" xfId="0" applyFont="1" applyFill="1" applyBorder="1"/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2" fillId="0" borderId="0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right"/>
    </xf>
    <xf numFmtId="0" fontId="22" fillId="0" borderId="8" xfId="0" applyFont="1" applyFill="1" applyBorder="1"/>
    <xf numFmtId="4" fontId="22" fillId="0" borderId="8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left"/>
    </xf>
    <xf numFmtId="4" fontId="23" fillId="0" borderId="0" xfId="0" applyNumberFormat="1" applyFont="1" applyFill="1" applyBorder="1"/>
    <xf numFmtId="10" fontId="12" fillId="0" borderId="0" xfId="0" applyNumberFormat="1" applyFont="1" applyFill="1" applyBorder="1"/>
    <xf numFmtId="6" fontId="24" fillId="0" borderId="0" xfId="0" applyNumberFormat="1" applyFont="1" applyFill="1" applyBorder="1"/>
    <xf numFmtId="10" fontId="24" fillId="0" borderId="0" xfId="0" applyNumberFormat="1" applyFont="1" applyFill="1" applyBorder="1"/>
    <xf numFmtId="14" fontId="24" fillId="0" borderId="0" xfId="0" applyNumberFormat="1" applyFont="1" applyFill="1" applyBorder="1"/>
    <xf numFmtId="0" fontId="24" fillId="0" borderId="0" xfId="0" applyFont="1" applyFill="1" applyBorder="1"/>
    <xf numFmtId="8" fontId="24" fillId="0" borderId="0" xfId="0" applyNumberFormat="1" applyFont="1" applyFill="1" applyBorder="1"/>
    <xf numFmtId="4" fontId="24" fillId="0" borderId="0" xfId="0" applyNumberFormat="1" applyFont="1" applyFill="1" applyBorder="1"/>
    <xf numFmtId="10" fontId="20" fillId="0" borderId="0" xfId="0" applyNumberFormat="1" applyFont="1"/>
    <xf numFmtId="14" fontId="22" fillId="0" borderId="4" xfId="0" applyNumberFormat="1" applyFont="1" applyFill="1" applyBorder="1" applyAlignment="1">
      <alignment horizontal="left"/>
    </xf>
    <xf numFmtId="4" fontId="22" fillId="0" borderId="4" xfId="0" applyNumberFormat="1" applyFont="1" applyFill="1" applyBorder="1"/>
    <xf numFmtId="14" fontId="22" fillId="0" borderId="1" xfId="0" applyNumberFormat="1" applyFont="1" applyFill="1" applyBorder="1" applyAlignment="1">
      <alignment horizontal="left"/>
    </xf>
    <xf numFmtId="4" fontId="22" fillId="0" borderId="1" xfId="0" applyNumberFormat="1" applyFont="1" applyFill="1" applyBorder="1"/>
    <xf numFmtId="14" fontId="22" fillId="0" borderId="0" xfId="0" applyNumberFormat="1" applyFont="1" applyFill="1" applyBorder="1" applyAlignment="1">
      <alignment horizontal="left"/>
    </xf>
    <xf numFmtId="43" fontId="12" fillId="0" borderId="0" xfId="1" applyFont="1" applyFill="1" applyBorder="1"/>
    <xf numFmtId="10" fontId="12" fillId="0" borderId="0" xfId="4" applyNumberFormat="1" applyFont="1" applyFill="1" applyBorder="1"/>
    <xf numFmtId="167" fontId="12" fillId="0" borderId="0" xfId="4" applyNumberFormat="1" applyFont="1" applyFill="1" applyBorder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5" fillId="0" borderId="0" xfId="0" applyFont="1" applyAlignment="1">
      <alignment horizontal="center"/>
    </xf>
    <xf numFmtId="5" fontId="10" fillId="0" borderId="2" xfId="2" applyNumberFormat="1" applyFont="1" applyBorder="1"/>
    <xf numFmtId="5" fontId="10" fillId="0" borderId="0" xfId="2" applyNumberFormat="1" applyFont="1" applyBorder="1"/>
    <xf numFmtId="5" fontId="10" fillId="0" borderId="5" xfId="2" applyNumberFormat="1" applyFont="1" applyBorder="1"/>
    <xf numFmtId="5" fontId="10" fillId="0" borderId="0" xfId="0" applyNumberFormat="1" applyFont="1"/>
    <xf numFmtId="0" fontId="10" fillId="0" borderId="2" xfId="0" quotePrefix="1" applyNumberFormat="1" applyFont="1" applyBorder="1" applyAlignment="1">
      <alignment horizontal="center"/>
    </xf>
    <xf numFmtId="43" fontId="10" fillId="0" borderId="0" xfId="1" applyFont="1"/>
    <xf numFmtId="7" fontId="10" fillId="0" borderId="0" xfId="0" applyNumberFormat="1" applyFont="1"/>
    <xf numFmtId="0" fontId="16" fillId="0" borderId="0" xfId="0" applyFont="1" applyFill="1" applyBorder="1" applyAlignment="1">
      <alignment horizontal="centerContinuous"/>
    </xf>
    <xf numFmtId="0" fontId="30" fillId="0" borderId="0" xfId="0" applyFont="1" applyFill="1" applyBorder="1"/>
    <xf numFmtId="14" fontId="30" fillId="0" borderId="0" xfId="0" applyNumberFormat="1" applyFont="1" applyFill="1" applyBorder="1"/>
    <xf numFmtId="4" fontId="2" fillId="0" borderId="2" xfId="0" applyNumberFormat="1" applyFont="1" applyFill="1" applyBorder="1"/>
    <xf numFmtId="14" fontId="10" fillId="0" borderId="2" xfId="0" quotePrefix="1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/>
    <xf numFmtId="10" fontId="12" fillId="0" borderId="0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/>
    <xf numFmtId="0" fontId="4" fillId="0" borderId="0" xfId="0" applyFont="1"/>
    <xf numFmtId="44" fontId="4" fillId="0" borderId="0" xfId="2" applyFont="1"/>
    <xf numFmtId="0" fontId="4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31" fillId="0" borderId="0" xfId="0" applyFont="1" applyAlignment="1">
      <alignment horizontal="right"/>
    </xf>
    <xf numFmtId="0" fontId="5" fillId="0" borderId="0" xfId="0" applyFont="1"/>
    <xf numFmtId="165" fontId="5" fillId="0" borderId="0" xfId="0" applyNumberFormat="1" applyFont="1"/>
    <xf numFmtId="168" fontId="5" fillId="0" borderId="0" xfId="0" applyNumberFormat="1" applyFont="1"/>
    <xf numFmtId="0" fontId="32" fillId="0" borderId="0" xfId="0" applyFont="1" applyAlignment="1">
      <alignment horizontal="right"/>
    </xf>
    <xf numFmtId="165" fontId="4" fillId="0" borderId="0" xfId="0" applyNumberFormat="1" applyFont="1"/>
    <xf numFmtId="0" fontId="4" fillId="0" borderId="0" xfId="0" applyFont="1" applyBorder="1"/>
    <xf numFmtId="0" fontId="33" fillId="0" borderId="0" xfId="0" applyFont="1" applyAlignment="1">
      <alignment horizontal="center"/>
    </xf>
    <xf numFmtId="0" fontId="3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4" fontId="4" fillId="0" borderId="2" xfId="0" applyNumberFormat="1" applyFont="1" applyFill="1" applyBorder="1"/>
    <xf numFmtId="10" fontId="4" fillId="0" borderId="2" xfId="4" applyNumberFormat="1" applyFont="1" applyFill="1" applyBorder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 applyBorder="1"/>
    <xf numFmtId="166" fontId="4" fillId="0" borderId="0" xfId="4" applyNumberFormat="1" applyFont="1" applyFill="1"/>
    <xf numFmtId="169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4" borderId="0" xfId="0" applyFont="1" applyFill="1"/>
    <xf numFmtId="4" fontId="4" fillId="4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Border="1"/>
    <xf numFmtId="165" fontId="4" fillId="0" borderId="0" xfId="4" applyNumberFormat="1" applyFont="1"/>
    <xf numFmtId="4" fontId="4" fillId="4" borderId="2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Border="1" applyAlignment="1" applyProtection="1">
      <alignment horizontal="right"/>
    </xf>
    <xf numFmtId="4" fontId="28" fillId="0" borderId="0" xfId="0" applyNumberFormat="1" applyFont="1" applyFill="1" applyBorder="1" applyAlignment="1" applyProtection="1">
      <alignment horizontal="right"/>
    </xf>
    <xf numFmtId="4" fontId="28" fillId="0" borderId="0" xfId="0" applyNumberFormat="1" applyFont="1" applyFill="1" applyBorder="1" applyAlignment="1" applyProtection="1">
      <alignment horizontal="center"/>
    </xf>
    <xf numFmtId="165" fontId="4" fillId="0" borderId="0" xfId="2" applyNumberFormat="1" applyFont="1"/>
    <xf numFmtId="170" fontId="4" fillId="0" borderId="0" xfId="1" applyNumberFormat="1" applyFont="1" applyFill="1" applyAlignment="1">
      <alignment horizontal="center"/>
    </xf>
    <xf numFmtId="44" fontId="4" fillId="0" borderId="0" xfId="0" applyNumberFormat="1" applyFont="1"/>
    <xf numFmtId="165" fontId="4" fillId="0" borderId="5" xfId="0" applyNumberFormat="1" applyFont="1" applyFill="1" applyBorder="1"/>
    <xf numFmtId="10" fontId="4" fillId="0" borderId="0" xfId="4" applyNumberFormat="1" applyFont="1" applyFill="1"/>
    <xf numFmtId="9" fontId="4" fillId="0" borderId="0" xfId="0" applyNumberFormat="1" applyFont="1"/>
    <xf numFmtId="4" fontId="4" fillId="0" borderId="0" xfId="0" applyNumberFormat="1" applyFont="1"/>
    <xf numFmtId="165" fontId="29" fillId="0" borderId="0" xfId="0" applyNumberFormat="1" applyFont="1" applyFill="1" applyBorder="1"/>
    <xf numFmtId="44" fontId="4" fillId="0" borderId="0" xfId="2" applyNumberFormat="1" applyFont="1"/>
    <xf numFmtId="165" fontId="4" fillId="0" borderId="0" xfId="0" applyNumberFormat="1" applyFont="1" applyFill="1" applyBorder="1" applyAlignment="1">
      <alignment horizontal="center"/>
    </xf>
    <xf numFmtId="10" fontId="4" fillId="0" borderId="0" xfId="4" applyNumberFormat="1" applyFont="1"/>
    <xf numFmtId="44" fontId="4" fillId="0" borderId="0" xfId="2" applyNumberFormat="1" applyFont="1" applyAlignment="1">
      <alignment horizontal="center"/>
    </xf>
    <xf numFmtId="43" fontId="4" fillId="0" borderId="0" xfId="1" applyFont="1"/>
    <xf numFmtId="171" fontId="4" fillId="0" borderId="0" xfId="0" applyNumberFormat="1" applyFont="1" applyAlignment="1">
      <alignment horizontal="left"/>
    </xf>
    <xf numFmtId="14" fontId="4" fillId="0" borderId="0" xfId="0" applyNumberFormat="1" applyFont="1"/>
    <xf numFmtId="170" fontId="4" fillId="0" borderId="0" xfId="1" applyNumberFormat="1" applyFont="1" applyFill="1" applyBorder="1"/>
    <xf numFmtId="172" fontId="4" fillId="0" borderId="0" xfId="1" applyNumberFormat="1" applyFont="1"/>
    <xf numFmtId="10" fontId="12" fillId="0" borderId="1" xfId="4" applyNumberFormat="1" applyFont="1" applyFill="1" applyBorder="1"/>
    <xf numFmtId="10" fontId="22" fillId="0" borderId="0" xfId="4" applyNumberFormat="1" applyFont="1" applyFill="1" applyBorder="1"/>
    <xf numFmtId="10" fontId="20" fillId="0" borderId="0" xfId="4" applyNumberFormat="1" applyFont="1" applyBorder="1"/>
    <xf numFmtId="10" fontId="22" fillId="0" borderId="8" xfId="4" applyNumberFormat="1" applyFont="1" applyFill="1" applyBorder="1" applyAlignment="1">
      <alignment horizontal="right"/>
    </xf>
    <xf numFmtId="10" fontId="22" fillId="0" borderId="0" xfId="4" applyNumberFormat="1" applyFont="1" applyFill="1" applyBorder="1" applyAlignment="1">
      <alignment horizontal="right"/>
    </xf>
    <xf numFmtId="10" fontId="22" fillId="0" borderId="4" xfId="4" applyNumberFormat="1" applyFont="1" applyFill="1" applyBorder="1"/>
    <xf numFmtId="10" fontId="22" fillId="0" borderId="1" xfId="4" applyNumberFormat="1" applyFont="1" applyFill="1" applyBorder="1"/>
    <xf numFmtId="10" fontId="20" fillId="0" borderId="0" xfId="4" applyNumberFormat="1" applyFont="1"/>
    <xf numFmtId="10" fontId="12" fillId="0" borderId="0" xfId="4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Continuous"/>
    </xf>
    <xf numFmtId="164" fontId="34" fillId="0" borderId="0" xfId="0" applyNumberFormat="1" applyFont="1" applyFill="1" applyBorder="1" applyAlignment="1">
      <alignment horizontal="centerContinuous"/>
    </xf>
    <xf numFmtId="0" fontId="34" fillId="0" borderId="0" xfId="0" applyFont="1" applyFill="1" applyBorder="1" applyAlignment="1">
      <alignment horizontal="centerContinuous"/>
    </xf>
    <xf numFmtId="0" fontId="34" fillId="0" borderId="0" xfId="0" applyFont="1" applyFill="1" applyBorder="1" applyAlignment="1"/>
    <xf numFmtId="0" fontId="5" fillId="0" borderId="2" xfId="0" applyFont="1" applyBorder="1" applyAlignment="1">
      <alignment horizontal="center"/>
    </xf>
    <xf numFmtId="171" fontId="4" fillId="0" borderId="0" xfId="0" applyNumberFormat="1" applyFont="1" applyAlignment="1">
      <alignment horizontal="left"/>
    </xf>
    <xf numFmtId="43" fontId="34" fillId="0" borderId="0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Border="1"/>
    <xf numFmtId="43" fontId="2" fillId="0" borderId="0" xfId="0" applyNumberFormat="1" applyFont="1" applyFill="1" applyBorder="1"/>
    <xf numFmtId="166" fontId="4" fillId="0" borderId="0" xfId="4" applyNumberFormat="1" applyFont="1"/>
    <xf numFmtId="0" fontId="4" fillId="0" borderId="0" xfId="0" applyFont="1" applyFill="1" applyBorder="1" applyAlignment="1">
      <alignment horizontal="left" inden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171" fontId="12" fillId="0" borderId="0" xfId="0" applyNumberFormat="1" applyFont="1" applyAlignment="1">
      <alignment horizontal="left"/>
    </xf>
    <xf numFmtId="171" fontId="4" fillId="0" borderId="0" xfId="0" applyNumberFormat="1" applyFon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tabSelected="1" zoomScaleNormal="100" workbookViewId="0">
      <selection activeCell="A7" sqref="A7"/>
    </sheetView>
  </sheetViews>
  <sheetFormatPr defaultColWidth="9.33203125" defaultRowHeight="13.9" x14ac:dyDescent="0.4"/>
  <cols>
    <col min="1" max="1" width="58.4140625" style="128" customWidth="1"/>
    <col min="2" max="2" width="18.4140625" style="128" hidden="1" customWidth="1"/>
    <col min="3" max="3" width="18.4140625" style="128" customWidth="1"/>
    <col min="4" max="4" width="17.08203125" style="128" hidden="1" customWidth="1"/>
    <col min="5" max="5" width="1" style="128" customWidth="1"/>
    <col min="6" max="6" width="10.33203125" style="130" customWidth="1"/>
    <col min="7" max="7" width="1" style="128" customWidth="1"/>
    <col min="8" max="8" width="13" style="130" customWidth="1"/>
    <col min="9" max="9" width="1" style="128" customWidth="1"/>
    <col min="10" max="10" width="15.75" style="128" customWidth="1"/>
    <col min="11" max="11" width="1" style="128" customWidth="1"/>
    <col min="12" max="12" width="15.75" style="128" customWidth="1"/>
    <col min="13" max="13" width="10.4140625" style="128" customWidth="1"/>
    <col min="14" max="14" width="4.33203125" style="128" customWidth="1"/>
    <col min="15" max="15" width="17.6640625" style="128" customWidth="1"/>
    <col min="16" max="16" width="16.08203125" style="128" customWidth="1"/>
    <col min="17" max="17" width="15.4140625" style="128" customWidth="1"/>
    <col min="18" max="18" width="9.33203125" style="128"/>
    <col min="19" max="19" width="21.08203125" style="129" customWidth="1"/>
    <col min="20" max="20" width="18" style="128" bestFit="1" customWidth="1"/>
    <col min="21" max="16384" width="9.33203125" style="128"/>
  </cols>
  <sheetData>
    <row r="1" spans="1:16" ht="28.15" x14ac:dyDescent="0.75">
      <c r="A1" s="198" t="s">
        <v>110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6" ht="24.75" x14ac:dyDescent="0.65">
      <c r="A2" s="199" t="s">
        <v>114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6" ht="17.649999999999999" x14ac:dyDescent="0.5">
      <c r="J3" s="131"/>
      <c r="K3" s="132"/>
      <c r="L3" s="133"/>
    </row>
    <row r="4" spans="1:16" ht="17.649999999999999" x14ac:dyDescent="0.5">
      <c r="A4" s="134" t="s">
        <v>0</v>
      </c>
      <c r="B4" s="135">
        <v>55948926.100000001</v>
      </c>
      <c r="C4" s="136">
        <v>881905000</v>
      </c>
      <c r="D4" s="136">
        <f>SUM(B4:C4)</f>
        <v>937853926.10000002</v>
      </c>
      <c r="J4" s="131"/>
      <c r="K4" s="132"/>
      <c r="L4" s="137"/>
    </row>
    <row r="5" spans="1:16" x14ac:dyDescent="0.4">
      <c r="D5" s="138"/>
      <c r="K5" s="139"/>
    </row>
    <row r="6" spans="1:16" x14ac:dyDescent="0.4">
      <c r="D6" s="140"/>
      <c r="J6" s="200" t="s">
        <v>2</v>
      </c>
      <c r="K6" s="200"/>
      <c r="L6" s="200"/>
    </row>
    <row r="7" spans="1:16" x14ac:dyDescent="0.4">
      <c r="A7" s="141"/>
      <c r="B7" s="142"/>
      <c r="C7" s="142"/>
      <c r="D7" s="142" t="s">
        <v>115</v>
      </c>
      <c r="J7" s="142" t="s">
        <v>3</v>
      </c>
      <c r="K7" s="139"/>
      <c r="L7" s="142" t="s">
        <v>5</v>
      </c>
    </row>
    <row r="8" spans="1:16" x14ac:dyDescent="0.4">
      <c r="B8" s="190" t="s">
        <v>1</v>
      </c>
      <c r="C8" s="190" t="s">
        <v>108</v>
      </c>
      <c r="D8" s="190" t="s">
        <v>116</v>
      </c>
      <c r="J8" s="190" t="s">
        <v>4</v>
      </c>
      <c r="K8" s="139"/>
      <c r="L8" s="190" t="s">
        <v>4</v>
      </c>
    </row>
    <row r="9" spans="1:16" x14ac:dyDescent="0.4">
      <c r="A9" s="143" t="s">
        <v>8</v>
      </c>
      <c r="B9" s="147"/>
      <c r="C9" s="147">
        <f>C$15*F9</f>
        <v>1389000.375</v>
      </c>
      <c r="D9" s="147">
        <f>SUM(B9:C9)</f>
        <v>1389000.375</v>
      </c>
      <c r="E9" s="5"/>
      <c r="F9" s="6">
        <v>0.315</v>
      </c>
      <c r="G9" s="5"/>
      <c r="H9" s="7"/>
      <c r="I9" s="146"/>
      <c r="J9" s="147">
        <f t="shared" ref="J9:J13" si="0">IF(H9&lt;&gt;"",D9,0)</f>
        <v>0</v>
      </c>
      <c r="K9" s="154"/>
      <c r="L9" s="147">
        <f t="shared" ref="L9:L13" si="1">+D9</f>
        <v>1389000.375</v>
      </c>
      <c r="M9" s="146"/>
    </row>
    <row r="10" spans="1:16" x14ac:dyDescent="0.4">
      <c r="A10" s="143" t="s">
        <v>117</v>
      </c>
      <c r="B10" s="5"/>
      <c r="C10" s="157">
        <f>C$15*F10</f>
        <v>1146476.5</v>
      </c>
      <c r="D10" s="5">
        <f>SUM(B10:C10)</f>
        <v>1146476.5</v>
      </c>
      <c r="E10" s="5"/>
      <c r="F10" s="6">
        <v>0.26</v>
      </c>
      <c r="G10" s="5"/>
      <c r="H10" s="7"/>
      <c r="I10" s="146"/>
      <c r="J10" s="5">
        <f t="shared" si="0"/>
        <v>0</v>
      </c>
      <c r="K10" s="154"/>
      <c r="L10" s="5">
        <f t="shared" si="1"/>
        <v>1146476.5</v>
      </c>
      <c r="M10" s="146"/>
      <c r="P10" s="196"/>
    </row>
    <row r="11" spans="1:16" x14ac:dyDescent="0.4">
      <c r="A11" s="143" t="s">
        <v>118</v>
      </c>
      <c r="B11" s="5"/>
      <c r="C11" s="157">
        <f>C$15*F11</f>
        <v>639381.125</v>
      </c>
      <c r="D11" s="5">
        <f t="shared" ref="D11:D13" si="2">SUM(B11:C11)</f>
        <v>639381.125</v>
      </c>
      <c r="E11" s="5"/>
      <c r="F11" s="6">
        <v>0.14499999999999999</v>
      </c>
      <c r="G11" s="5"/>
      <c r="H11" s="7" t="s">
        <v>7</v>
      </c>
      <c r="I11" s="146"/>
      <c r="J11" s="5">
        <f t="shared" si="0"/>
        <v>639381.125</v>
      </c>
      <c r="K11" s="154"/>
      <c r="L11" s="5">
        <f t="shared" si="1"/>
        <v>639381.125</v>
      </c>
      <c r="M11" s="146"/>
    </row>
    <row r="12" spans="1:16" x14ac:dyDescent="0.4">
      <c r="A12" s="143" t="s">
        <v>119</v>
      </c>
      <c r="B12" s="5"/>
      <c r="C12" s="157">
        <f>C$15*F12</f>
        <v>639381.125</v>
      </c>
      <c r="D12" s="5">
        <f t="shared" si="2"/>
        <v>639381.125</v>
      </c>
      <c r="E12" s="5"/>
      <c r="F12" s="6">
        <v>0.14499999999999999</v>
      </c>
      <c r="G12" s="5"/>
      <c r="H12" s="7" t="s">
        <v>7</v>
      </c>
      <c r="I12" s="146"/>
      <c r="J12" s="5">
        <f t="shared" si="0"/>
        <v>639381.125</v>
      </c>
      <c r="K12" s="154"/>
      <c r="L12" s="5">
        <f t="shared" si="1"/>
        <v>639381.125</v>
      </c>
      <c r="M12" s="146"/>
    </row>
    <row r="13" spans="1:16" x14ac:dyDescent="0.4">
      <c r="A13" s="143" t="s">
        <v>120</v>
      </c>
      <c r="B13" s="144"/>
      <c r="C13" s="144">
        <f>C$15*F13</f>
        <v>595285.875</v>
      </c>
      <c r="D13" s="144">
        <f t="shared" si="2"/>
        <v>595285.875</v>
      </c>
      <c r="E13" s="5"/>
      <c r="F13" s="145">
        <v>0.13500000000000001</v>
      </c>
      <c r="G13" s="5"/>
      <c r="H13" s="7"/>
      <c r="I13" s="146"/>
      <c r="J13" s="144">
        <f t="shared" si="0"/>
        <v>0</v>
      </c>
      <c r="K13" s="5"/>
      <c r="L13" s="144">
        <f t="shared" si="1"/>
        <v>595285.875</v>
      </c>
      <c r="M13" s="146"/>
    </row>
    <row r="14" spans="1:16" ht="8.25" customHeight="1" x14ac:dyDescent="0.4">
      <c r="A14" s="4"/>
      <c r="B14" s="4"/>
      <c r="C14" s="4"/>
      <c r="D14" s="4"/>
      <c r="E14" s="4"/>
      <c r="F14" s="7"/>
      <c r="G14" s="4"/>
      <c r="H14" s="7"/>
      <c r="I14" s="146"/>
      <c r="J14" s="146"/>
      <c r="K14" s="4"/>
      <c r="L14" s="146"/>
      <c r="M14" s="146"/>
    </row>
    <row r="15" spans="1:16" x14ac:dyDescent="0.4">
      <c r="A15" s="4" t="s">
        <v>9</v>
      </c>
      <c r="B15" s="147">
        <f>SUM(B9:B14)</f>
        <v>0</v>
      </c>
      <c r="C15" s="147">
        <f>C4/1000*P15</f>
        <v>4409525</v>
      </c>
      <c r="D15" s="147">
        <f>SUM(D9:D13)</f>
        <v>4409525</v>
      </c>
      <c r="E15" s="5"/>
      <c r="F15" s="6">
        <f>SUM(F9:F13)</f>
        <v>1</v>
      </c>
      <c r="G15" s="5"/>
      <c r="H15" s="7"/>
      <c r="I15" s="146"/>
      <c r="J15" s="147">
        <f>SUM(J9:J13)</f>
        <v>1278762.25</v>
      </c>
      <c r="K15" s="147"/>
      <c r="L15" s="147">
        <f>SUM(L9:L13)</f>
        <v>4409525</v>
      </c>
      <c r="M15" s="148">
        <f>+J15/L15</f>
        <v>0.28999999999999998</v>
      </c>
      <c r="P15" s="149">
        <v>5</v>
      </c>
    </row>
    <row r="16" spans="1:16" x14ac:dyDescent="0.4">
      <c r="B16" s="146"/>
      <c r="C16" s="146"/>
      <c r="D16" s="146"/>
      <c r="E16" s="146"/>
      <c r="F16" s="150"/>
      <c r="G16" s="146"/>
      <c r="H16" s="150"/>
      <c r="I16" s="146"/>
      <c r="J16" s="146"/>
      <c r="K16" s="4"/>
      <c r="L16" s="146"/>
      <c r="M16" s="146"/>
      <c r="P16" s="138"/>
    </row>
    <row r="17" spans="1:20" x14ac:dyDescent="0.4">
      <c r="A17" s="128" t="s">
        <v>121</v>
      </c>
      <c r="B17" s="147"/>
      <c r="C17" s="147"/>
      <c r="D17" s="147"/>
      <c r="E17" s="146"/>
      <c r="F17" s="150"/>
      <c r="G17" s="146"/>
      <c r="H17" s="146"/>
      <c r="I17" s="146"/>
      <c r="J17" s="147"/>
      <c r="K17" s="154"/>
      <c r="L17" s="147"/>
      <c r="M17" s="146"/>
      <c r="P17" s="138"/>
    </row>
    <row r="18" spans="1:20" x14ac:dyDescent="0.4">
      <c r="A18" s="197" t="s">
        <v>8</v>
      </c>
      <c r="B18" s="157"/>
      <c r="C18" s="147">
        <v>300000</v>
      </c>
      <c r="D18" s="5">
        <f t="shared" ref="D18:D26" si="3">SUM(B18:C18)</f>
        <v>300000</v>
      </c>
      <c r="E18" s="146"/>
      <c r="F18" s="6">
        <v>0.6</v>
      </c>
      <c r="G18" s="5"/>
      <c r="H18" s="7"/>
      <c r="I18" s="146"/>
      <c r="J18" s="147">
        <f t="shared" ref="J18:J26" si="4">IF(H18&lt;&gt;"",D18,0)</f>
        <v>0</v>
      </c>
      <c r="K18" s="154"/>
      <c r="L18" s="147">
        <f t="shared" ref="L18:L19" si="5">+D18</f>
        <v>300000</v>
      </c>
      <c r="M18" s="146"/>
      <c r="P18" s="138"/>
    </row>
    <row r="19" spans="1:20" x14ac:dyDescent="0.4">
      <c r="A19" s="197" t="s">
        <v>117</v>
      </c>
      <c r="B19" s="157"/>
      <c r="C19" s="157">
        <v>200000</v>
      </c>
      <c r="D19" s="5">
        <f t="shared" si="3"/>
        <v>200000</v>
      </c>
      <c r="E19" s="146"/>
      <c r="F19" s="6">
        <f>1-F18</f>
        <v>0.4</v>
      </c>
      <c r="G19" s="5"/>
      <c r="H19" s="7"/>
      <c r="I19" s="146"/>
      <c r="J19" s="5">
        <f t="shared" si="4"/>
        <v>0</v>
      </c>
      <c r="K19" s="154"/>
      <c r="L19" s="5">
        <f t="shared" si="5"/>
        <v>200000</v>
      </c>
      <c r="M19" s="146"/>
      <c r="P19" s="138"/>
    </row>
    <row r="20" spans="1:20" x14ac:dyDescent="0.4">
      <c r="A20" s="151" t="s">
        <v>10</v>
      </c>
      <c r="B20" s="152"/>
      <c r="C20" s="152">
        <v>75000</v>
      </c>
      <c r="D20" s="152">
        <f t="shared" si="3"/>
        <v>75000</v>
      </c>
      <c r="E20" s="146"/>
      <c r="F20" s="153"/>
      <c r="G20" s="146"/>
      <c r="H20" s="150"/>
      <c r="I20" s="146"/>
      <c r="J20" s="5">
        <v>0</v>
      </c>
      <c r="K20" s="154"/>
      <c r="L20" s="5">
        <v>0</v>
      </c>
      <c r="M20" s="146"/>
      <c r="O20" s="138"/>
      <c r="P20" s="155"/>
    </row>
    <row r="21" spans="1:20" x14ac:dyDescent="0.4">
      <c r="A21" s="151" t="s">
        <v>11</v>
      </c>
      <c r="B21" s="152"/>
      <c r="C21" s="152">
        <v>800</v>
      </c>
      <c r="D21" s="152">
        <f t="shared" si="3"/>
        <v>800</v>
      </c>
      <c r="E21" s="146"/>
      <c r="F21" s="150"/>
      <c r="G21" s="146"/>
      <c r="H21" s="150"/>
      <c r="I21" s="146"/>
      <c r="J21" s="5">
        <f t="shared" si="4"/>
        <v>0</v>
      </c>
      <c r="K21" s="154"/>
      <c r="L21" s="5">
        <v>0</v>
      </c>
      <c r="M21" s="146"/>
      <c r="O21" s="138"/>
      <c r="P21" s="155"/>
    </row>
    <row r="22" spans="1:20" x14ac:dyDescent="0.4">
      <c r="A22" s="151" t="s">
        <v>12</v>
      </c>
      <c r="B22" s="152"/>
      <c r="C22" s="152">
        <v>356</v>
      </c>
      <c r="D22" s="152">
        <f t="shared" si="3"/>
        <v>356</v>
      </c>
      <c r="E22" s="146"/>
      <c r="F22" s="150"/>
      <c r="G22" s="146"/>
      <c r="H22" s="146"/>
      <c r="I22" s="146"/>
      <c r="J22" s="5">
        <f t="shared" si="4"/>
        <v>0</v>
      </c>
      <c r="K22" s="154"/>
      <c r="L22" s="5">
        <v>0</v>
      </c>
      <c r="M22" s="146"/>
      <c r="O22" s="166"/>
      <c r="P22" s="155"/>
    </row>
    <row r="23" spans="1:20" x14ac:dyDescent="0.4">
      <c r="A23" s="151" t="s">
        <v>122</v>
      </c>
      <c r="B23" s="152"/>
      <c r="C23" s="152">
        <v>2000</v>
      </c>
      <c r="D23" s="152">
        <f t="shared" si="3"/>
        <v>2000</v>
      </c>
      <c r="E23" s="146"/>
      <c r="F23" s="150"/>
      <c r="G23" s="146"/>
      <c r="H23" s="146"/>
      <c r="I23" s="146"/>
      <c r="J23" s="5">
        <f t="shared" si="4"/>
        <v>0</v>
      </c>
      <c r="K23" s="154"/>
      <c r="L23" s="5">
        <v>0</v>
      </c>
      <c r="M23" s="146"/>
      <c r="O23" s="166"/>
      <c r="P23" s="170"/>
    </row>
    <row r="24" spans="1:20" x14ac:dyDescent="0.4">
      <c r="A24" s="151" t="s">
        <v>123</v>
      </c>
      <c r="B24" s="152"/>
      <c r="C24" s="152">
        <f>54501.73+13228.58*2+285+7210.39</f>
        <v>88454.28</v>
      </c>
      <c r="D24" s="152">
        <f t="shared" si="3"/>
        <v>88454.28</v>
      </c>
      <c r="E24" s="146"/>
      <c r="F24" s="150"/>
      <c r="G24" s="146"/>
      <c r="H24" s="146"/>
      <c r="I24" s="146"/>
      <c r="J24" s="5">
        <f t="shared" si="4"/>
        <v>0</v>
      </c>
      <c r="K24" s="154"/>
      <c r="L24" s="5">
        <v>0</v>
      </c>
      <c r="M24" s="146"/>
      <c r="O24" s="166"/>
      <c r="P24" s="170"/>
    </row>
    <row r="25" spans="1:20" x14ac:dyDescent="0.4">
      <c r="A25" s="151" t="s">
        <v>124</v>
      </c>
      <c r="B25" s="152"/>
      <c r="C25" s="152">
        <v>1500</v>
      </c>
      <c r="D25" s="152">
        <f t="shared" si="3"/>
        <v>1500</v>
      </c>
      <c r="E25" s="146"/>
      <c r="F25" s="150"/>
      <c r="G25" s="146"/>
      <c r="H25" s="146"/>
      <c r="I25" s="146"/>
      <c r="J25" s="5">
        <f t="shared" si="4"/>
        <v>0</v>
      </c>
      <c r="K25" s="154"/>
      <c r="L25" s="5">
        <v>0</v>
      </c>
      <c r="M25" s="146"/>
      <c r="O25" s="166"/>
      <c r="P25" s="170"/>
    </row>
    <row r="26" spans="1:20" x14ac:dyDescent="0.4">
      <c r="A26" s="151" t="s">
        <v>125</v>
      </c>
      <c r="B26" s="156"/>
      <c r="C26" s="156">
        <v>10000</v>
      </c>
      <c r="D26" s="156">
        <f t="shared" si="3"/>
        <v>10000</v>
      </c>
      <c r="E26" s="146"/>
      <c r="F26" s="150"/>
      <c r="G26" s="146"/>
      <c r="H26" s="146"/>
      <c r="I26" s="146"/>
      <c r="J26" s="144">
        <f t="shared" si="4"/>
        <v>0</v>
      </c>
      <c r="K26" s="154"/>
      <c r="L26" s="144">
        <v>0</v>
      </c>
      <c r="M26" s="146"/>
      <c r="O26" s="138"/>
      <c r="P26" s="138"/>
    </row>
    <row r="27" spans="1:20" ht="9.75" customHeight="1" x14ac:dyDescent="0.4">
      <c r="B27" s="157"/>
      <c r="C27" s="157"/>
      <c r="D27" s="157"/>
      <c r="E27" s="146"/>
      <c r="F27" s="150"/>
      <c r="G27" s="146"/>
      <c r="H27" s="146"/>
      <c r="I27" s="146"/>
      <c r="J27" s="146"/>
      <c r="K27" s="4"/>
      <c r="L27" s="146"/>
      <c r="M27" s="146"/>
    </row>
    <row r="28" spans="1:20" x14ac:dyDescent="0.4">
      <c r="A28" s="128" t="s">
        <v>13</v>
      </c>
      <c r="B28" s="147">
        <f>SUM(B15:B26)</f>
        <v>0</v>
      </c>
      <c r="C28" s="147">
        <f>SUM(C15:C26)</f>
        <v>5087635.28</v>
      </c>
      <c r="D28" s="147">
        <f>SUM(D15:D26)</f>
        <v>5087635.28</v>
      </c>
      <c r="E28" s="146"/>
      <c r="F28" s="150"/>
      <c r="G28" s="146"/>
      <c r="H28" s="150"/>
      <c r="I28" s="146"/>
      <c r="J28" s="147">
        <f>SUM(J15:J26)</f>
        <v>1278762.25</v>
      </c>
      <c r="K28" s="4"/>
      <c r="L28" s="147">
        <f>SUM(L15:L26)</f>
        <v>4909525</v>
      </c>
      <c r="M28" s="148">
        <f>+J28/L28</f>
        <v>0.26046557457187813</v>
      </c>
    </row>
    <row r="29" spans="1:20" x14ac:dyDescent="0.4">
      <c r="B29" s="146"/>
      <c r="C29" s="146"/>
      <c r="D29" s="146"/>
      <c r="E29" s="146"/>
      <c r="F29" s="150"/>
      <c r="G29" s="146"/>
      <c r="H29" s="150"/>
      <c r="I29" s="146"/>
      <c r="J29" s="146"/>
      <c r="K29" s="4"/>
      <c r="L29" s="146"/>
      <c r="M29" s="146"/>
    </row>
    <row r="30" spans="1:20" x14ac:dyDescent="0.4">
      <c r="A30" s="128" t="s">
        <v>14</v>
      </c>
      <c r="B30" s="147"/>
      <c r="C30" s="147">
        <f>+(50000*0.8)+(150000*0.4)+(300000*0.25)+((C4/1000-500000)*0.15)-0.75</f>
        <v>232285</v>
      </c>
      <c r="D30" s="147">
        <f>SUM(B30:C30)</f>
        <v>232285</v>
      </c>
      <c r="E30" s="158"/>
      <c r="F30" s="159"/>
      <c r="G30" s="158"/>
      <c r="H30" s="150"/>
      <c r="I30" s="146"/>
      <c r="J30" s="147">
        <v>0</v>
      </c>
      <c r="K30" s="154"/>
      <c r="L30" s="147">
        <f t="shared" ref="L30:L38" si="6">+D30</f>
        <v>232285</v>
      </c>
      <c r="M30" s="146"/>
    </row>
    <row r="31" spans="1:20" x14ac:dyDescent="0.4">
      <c r="A31" s="128" t="s">
        <v>15</v>
      </c>
      <c r="B31" s="157"/>
      <c r="C31" s="157">
        <v>97500</v>
      </c>
      <c r="D31" s="5">
        <f t="shared" ref="D31:D38" si="7">SUM(B31:C31)</f>
        <v>97500</v>
      </c>
      <c r="E31" s="158"/>
      <c r="F31" s="159"/>
      <c r="G31" s="158"/>
      <c r="H31" s="150" t="s">
        <v>6</v>
      </c>
      <c r="I31" s="146"/>
      <c r="J31" s="5">
        <f t="shared" ref="J31:J35" si="8">IF(H31&lt;&gt;"",D31,0)</f>
        <v>97500</v>
      </c>
      <c r="K31" s="154"/>
      <c r="L31" s="5">
        <f t="shared" si="6"/>
        <v>97500</v>
      </c>
      <c r="M31" s="146"/>
      <c r="S31" s="160"/>
    </row>
    <row r="32" spans="1:20" x14ac:dyDescent="0.4">
      <c r="A32" s="128" t="s">
        <v>16</v>
      </c>
      <c r="B32" s="157"/>
      <c r="C32" s="157">
        <v>145000</v>
      </c>
      <c r="D32" s="5">
        <f t="shared" si="7"/>
        <v>145000</v>
      </c>
      <c r="E32" s="146"/>
      <c r="F32" s="161"/>
      <c r="G32" s="146"/>
      <c r="H32" s="150" t="s">
        <v>7</v>
      </c>
      <c r="I32" s="146"/>
      <c r="J32" s="5">
        <f>IF(H32&lt;&gt;"",D32,0)</f>
        <v>145000</v>
      </c>
      <c r="K32" s="154"/>
      <c r="L32" s="5">
        <f t="shared" si="6"/>
        <v>145000</v>
      </c>
      <c r="M32" s="146"/>
      <c r="P32" s="138"/>
      <c r="T32" s="162"/>
    </row>
    <row r="33" spans="1:20" x14ac:dyDescent="0.4">
      <c r="A33" s="128" t="s">
        <v>17</v>
      </c>
      <c r="B33" s="157"/>
      <c r="C33" s="157">
        <v>216653.05</v>
      </c>
      <c r="D33" s="5">
        <f t="shared" si="7"/>
        <v>216653.05</v>
      </c>
      <c r="E33" s="158"/>
      <c r="F33" s="159"/>
      <c r="G33" s="158"/>
      <c r="H33" s="150"/>
      <c r="I33" s="146"/>
      <c r="J33" s="5">
        <f t="shared" si="8"/>
        <v>0</v>
      </c>
      <c r="K33" s="154"/>
      <c r="L33" s="5">
        <f t="shared" si="6"/>
        <v>216653.05</v>
      </c>
      <c r="M33" s="146"/>
      <c r="T33" s="162"/>
    </row>
    <row r="34" spans="1:20" s="129" customFormat="1" hidden="1" x14ac:dyDescent="0.4">
      <c r="A34" s="128" t="s">
        <v>18</v>
      </c>
      <c r="B34" s="157"/>
      <c r="C34" s="157"/>
      <c r="D34" s="5">
        <f t="shared" si="7"/>
        <v>0</v>
      </c>
      <c r="E34" s="158"/>
      <c r="F34" s="159"/>
      <c r="G34" s="158"/>
      <c r="H34" s="150"/>
      <c r="I34" s="146"/>
      <c r="J34" s="5">
        <f t="shared" si="8"/>
        <v>0</v>
      </c>
      <c r="K34" s="154"/>
      <c r="L34" s="5">
        <f t="shared" si="6"/>
        <v>0</v>
      </c>
      <c r="M34" s="146"/>
      <c r="N34" s="128"/>
      <c r="O34" s="128"/>
      <c r="P34" s="128"/>
      <c r="Q34" s="128"/>
      <c r="R34" s="128"/>
    </row>
    <row r="35" spans="1:20" s="129" customFormat="1" x14ac:dyDescent="0.4">
      <c r="A35" s="128" t="s">
        <v>19</v>
      </c>
      <c r="B35" s="157"/>
      <c r="C35" s="157">
        <v>26214.3</v>
      </c>
      <c r="D35" s="5">
        <f t="shared" si="7"/>
        <v>26214.3</v>
      </c>
      <c r="E35" s="158"/>
      <c r="F35" s="159"/>
      <c r="G35" s="158"/>
      <c r="H35" s="150"/>
      <c r="I35" s="146"/>
      <c r="J35" s="5">
        <f t="shared" si="8"/>
        <v>0</v>
      </c>
      <c r="K35" s="154"/>
      <c r="L35" s="5">
        <f t="shared" si="6"/>
        <v>26214.3</v>
      </c>
      <c r="M35" s="146"/>
      <c r="N35" s="128"/>
      <c r="O35" s="128"/>
      <c r="P35" s="128"/>
      <c r="Q35" s="128"/>
      <c r="R35" s="128"/>
    </row>
    <row r="36" spans="1:20" s="129" customFormat="1" x14ac:dyDescent="0.4">
      <c r="A36" s="128" t="s">
        <v>20</v>
      </c>
      <c r="B36" s="157"/>
      <c r="C36" s="157">
        <v>300</v>
      </c>
      <c r="D36" s="5">
        <f t="shared" si="7"/>
        <v>300</v>
      </c>
      <c r="E36" s="158"/>
      <c r="F36" s="159"/>
      <c r="G36" s="158"/>
      <c r="H36" s="150"/>
      <c r="I36" s="146"/>
      <c r="J36" s="5">
        <v>0</v>
      </c>
      <c r="K36" s="154"/>
      <c r="L36" s="5">
        <f t="shared" si="6"/>
        <v>300</v>
      </c>
      <c r="M36" s="146"/>
      <c r="N36" s="128"/>
      <c r="O36" s="128"/>
      <c r="P36" s="128"/>
      <c r="Q36" s="128"/>
      <c r="R36" s="128"/>
    </row>
    <row r="37" spans="1:20" s="129" customFormat="1" x14ac:dyDescent="0.4">
      <c r="A37" s="146" t="s">
        <v>21</v>
      </c>
      <c r="B37" s="157"/>
      <c r="C37" s="157">
        <f>2472.37+525</f>
        <v>2997.37</v>
      </c>
      <c r="D37" s="5">
        <f t="shared" si="7"/>
        <v>2997.37</v>
      </c>
      <c r="E37" s="158"/>
      <c r="F37" s="159"/>
      <c r="G37" s="158"/>
      <c r="H37" s="150"/>
      <c r="I37" s="146"/>
      <c r="J37" s="5">
        <v>0</v>
      </c>
      <c r="K37" s="154"/>
      <c r="L37" s="5">
        <f t="shared" si="6"/>
        <v>2997.37</v>
      </c>
      <c r="M37" s="146"/>
      <c r="N37" s="128"/>
      <c r="O37" s="128"/>
      <c r="P37" s="128"/>
      <c r="Q37" s="128"/>
      <c r="R37" s="128"/>
    </row>
    <row r="38" spans="1:20" s="129" customFormat="1" x14ac:dyDescent="0.4">
      <c r="A38" s="128" t="s">
        <v>130</v>
      </c>
      <c r="B38" s="157"/>
      <c r="C38" s="157">
        <v>1950</v>
      </c>
      <c r="D38" s="5">
        <f t="shared" si="7"/>
        <v>1950</v>
      </c>
      <c r="E38" s="158"/>
      <c r="F38" s="159"/>
      <c r="G38" s="158"/>
      <c r="H38" s="150"/>
      <c r="I38" s="146"/>
      <c r="J38" s="5">
        <f>IF(H38&lt;&gt;"",D38,0)</f>
        <v>0</v>
      </c>
      <c r="K38" s="154"/>
      <c r="L38" s="5">
        <f t="shared" si="6"/>
        <v>1950</v>
      </c>
      <c r="M38" s="146"/>
      <c r="N38" s="128"/>
      <c r="O38" s="128"/>
      <c r="P38" s="128"/>
      <c r="Q38" s="128"/>
      <c r="R38" s="128"/>
    </row>
    <row r="39" spans="1:20" s="129" customFormat="1" x14ac:dyDescent="0.4">
      <c r="A39" s="151" t="s">
        <v>126</v>
      </c>
      <c r="B39" s="152"/>
      <c r="C39" s="152">
        <v>13000</v>
      </c>
      <c r="D39" s="152">
        <f>SUM(B39:C39)</f>
        <v>13000</v>
      </c>
      <c r="E39" s="158"/>
      <c r="F39" s="159"/>
      <c r="G39" s="158"/>
      <c r="H39" s="150"/>
      <c r="I39" s="146"/>
      <c r="J39" s="5">
        <f>IF(H39&lt;&gt;"",D39,0)</f>
        <v>0</v>
      </c>
      <c r="K39" s="154"/>
      <c r="L39" s="5">
        <v>0</v>
      </c>
      <c r="M39" s="146"/>
      <c r="N39" s="128"/>
      <c r="O39" s="128"/>
      <c r="P39" s="128"/>
      <c r="Q39" s="128"/>
      <c r="R39" s="128"/>
    </row>
    <row r="40" spans="1:20" s="129" customFormat="1" x14ac:dyDescent="0.4">
      <c r="A40" s="151" t="s">
        <v>127</v>
      </c>
      <c r="B40" s="152"/>
      <c r="C40" s="152">
        <v>157000</v>
      </c>
      <c r="D40" s="152">
        <f>SUM(B40:C40)</f>
        <v>157000</v>
      </c>
      <c r="E40" s="158"/>
      <c r="F40" s="159"/>
      <c r="G40" s="158"/>
      <c r="H40" s="150"/>
      <c r="I40" s="146"/>
      <c r="J40" s="5">
        <v>0</v>
      </c>
      <c r="K40" s="154"/>
      <c r="L40" s="5">
        <v>0</v>
      </c>
      <c r="M40" s="146"/>
      <c r="N40" s="128"/>
      <c r="O40" s="128"/>
      <c r="P40" s="128"/>
      <c r="Q40" s="128"/>
      <c r="R40" s="128"/>
    </row>
    <row r="41" spans="1:20" s="129" customFormat="1" x14ac:dyDescent="0.4">
      <c r="A41" s="151" t="s">
        <v>128</v>
      </c>
      <c r="B41" s="152"/>
      <c r="C41" s="152">
        <v>125000</v>
      </c>
      <c r="D41" s="152">
        <f>SUM(B41:C41)</f>
        <v>125000</v>
      </c>
      <c r="E41" s="158"/>
      <c r="F41" s="159"/>
      <c r="G41" s="158"/>
      <c r="H41" s="150"/>
      <c r="I41" s="146"/>
      <c r="J41" s="5">
        <v>0</v>
      </c>
      <c r="K41" s="154"/>
      <c r="L41" s="5">
        <v>0</v>
      </c>
      <c r="M41" s="146"/>
      <c r="N41" s="128"/>
      <c r="O41" s="128"/>
      <c r="P41" s="128"/>
      <c r="Q41" s="128"/>
      <c r="R41" s="128"/>
    </row>
    <row r="42" spans="1:20" s="129" customFormat="1" x14ac:dyDescent="0.4">
      <c r="A42" s="151" t="s">
        <v>22</v>
      </c>
      <c r="B42" s="156"/>
      <c r="C42" s="156">
        <v>30602.700000001882</v>
      </c>
      <c r="D42" s="156">
        <f>SUM(B42:C42)</f>
        <v>30602.700000001882</v>
      </c>
      <c r="E42" s="158"/>
      <c r="F42" s="159"/>
      <c r="G42" s="158"/>
      <c r="H42" s="150"/>
      <c r="I42" s="146"/>
      <c r="J42" s="144">
        <v>0</v>
      </c>
      <c r="K42" s="154"/>
      <c r="L42" s="144">
        <v>0</v>
      </c>
      <c r="M42" s="146"/>
      <c r="N42" s="128"/>
      <c r="O42" s="128"/>
      <c r="P42" s="128"/>
      <c r="Q42" s="128"/>
      <c r="R42" s="128"/>
    </row>
    <row r="43" spans="1:20" s="129" customFormat="1" x14ac:dyDescent="0.4">
      <c r="A43" s="128"/>
      <c r="B43" s="146"/>
      <c r="C43" s="146"/>
      <c r="D43" s="146"/>
      <c r="E43" s="146"/>
      <c r="F43" s="150"/>
      <c r="G43" s="146"/>
      <c r="H43" s="150"/>
      <c r="I43" s="146"/>
      <c r="J43" s="146"/>
      <c r="K43" s="4"/>
      <c r="L43" s="146"/>
      <c r="M43" s="146"/>
      <c r="N43" s="128"/>
      <c r="O43" s="128"/>
      <c r="P43" s="128"/>
      <c r="Q43" s="128"/>
      <c r="R43" s="128"/>
    </row>
    <row r="44" spans="1:20" s="129" customFormat="1" ht="14.25" thickBot="1" x14ac:dyDescent="0.45">
      <c r="A44" s="128" t="s">
        <v>23</v>
      </c>
      <c r="B44" s="163">
        <f>SUM(B28:B42)</f>
        <v>0</v>
      </c>
      <c r="C44" s="163">
        <f>SUM(C28:C42)</f>
        <v>6136137.700000002</v>
      </c>
      <c r="D44" s="163">
        <f>SUM(D28:D42)</f>
        <v>6136137.700000002</v>
      </c>
      <c r="E44" s="146"/>
      <c r="F44" s="150"/>
      <c r="G44" s="146"/>
      <c r="H44" s="150"/>
      <c r="I44" s="146"/>
      <c r="J44" s="163">
        <f>SUM(J28:J42)</f>
        <v>1521262.25</v>
      </c>
      <c r="K44" s="147"/>
      <c r="L44" s="163">
        <f>SUM(L28:L42)</f>
        <v>5632424.7199999997</v>
      </c>
      <c r="M44" s="164">
        <f>+J44/L44</f>
        <v>0.27009011671264738</v>
      </c>
      <c r="N44" s="128"/>
      <c r="O44" s="128"/>
      <c r="P44" s="128"/>
      <c r="Q44" s="128"/>
      <c r="R44" s="128"/>
    </row>
    <row r="45" spans="1:20" s="129" customFormat="1" ht="14.25" thickTop="1" x14ac:dyDescent="0.4">
      <c r="A45" s="128"/>
      <c r="B45" s="128"/>
      <c r="C45" s="128"/>
      <c r="D45" s="128"/>
      <c r="E45" s="128"/>
      <c r="F45" s="130"/>
      <c r="G45" s="128"/>
      <c r="H45" s="130"/>
      <c r="I45" s="128"/>
      <c r="J45" s="128"/>
      <c r="K45" s="139"/>
      <c r="L45" s="128"/>
      <c r="M45" s="128"/>
      <c r="N45" s="128"/>
      <c r="O45" s="128"/>
      <c r="P45" s="134"/>
      <c r="Q45" s="128"/>
      <c r="R45" s="128"/>
    </row>
    <row r="46" spans="1:20" s="129" customFormat="1" x14ac:dyDescent="0.4">
      <c r="A46" s="128" t="s">
        <v>24</v>
      </c>
      <c r="B46" s="147"/>
      <c r="C46" s="147">
        <v>6136137.7000000002</v>
      </c>
      <c r="D46" s="147">
        <f>SUM(D30:D42)</f>
        <v>1048502.420000002</v>
      </c>
      <c r="E46" s="128"/>
      <c r="F46" s="130"/>
      <c r="G46" s="128"/>
      <c r="H46" s="130"/>
      <c r="I46" s="128"/>
      <c r="J46" s="130" t="s">
        <v>7</v>
      </c>
      <c r="K46" s="139"/>
      <c r="L46" s="147">
        <f>J11+J12+J32</f>
        <v>1423762.25</v>
      </c>
      <c r="M46" s="164">
        <f>L46/L44</f>
        <v>0.25277963235698603</v>
      </c>
      <c r="N46" s="128"/>
      <c r="O46" s="128"/>
      <c r="P46" s="130"/>
      <c r="Q46" s="147"/>
      <c r="R46" s="165"/>
    </row>
    <row r="47" spans="1:20" s="129" customFormat="1" x14ac:dyDescent="0.4">
      <c r="A47" s="128"/>
      <c r="B47" s="166"/>
      <c r="C47" s="166"/>
      <c r="D47" s="166"/>
      <c r="E47" s="128"/>
      <c r="F47" s="130"/>
      <c r="G47" s="128"/>
      <c r="H47" s="130"/>
      <c r="I47" s="128"/>
      <c r="J47" s="130" t="s">
        <v>6</v>
      </c>
      <c r="K47" s="139"/>
      <c r="L47" s="147">
        <f>J31</f>
        <v>97500</v>
      </c>
      <c r="M47" s="164">
        <f>L47/L44</f>
        <v>1.7310484355661303E-2</v>
      </c>
      <c r="N47" s="128"/>
      <c r="O47" s="128"/>
      <c r="P47" s="130"/>
      <c r="Q47" s="167"/>
      <c r="R47" s="165"/>
    </row>
    <row r="48" spans="1:20" s="129" customFormat="1" x14ac:dyDescent="0.4">
      <c r="A48" s="128"/>
      <c r="B48" s="128"/>
      <c r="C48" s="128"/>
      <c r="D48" s="128"/>
      <c r="E48" s="128"/>
      <c r="F48" s="130"/>
      <c r="G48" s="128"/>
      <c r="H48" s="130"/>
      <c r="I48" s="128"/>
      <c r="J48" s="128"/>
      <c r="K48" s="128"/>
      <c r="L48" s="128"/>
      <c r="M48" s="128"/>
      <c r="N48" s="128"/>
      <c r="O48" s="128"/>
      <c r="P48" s="128"/>
      <c r="Q48" s="147"/>
      <c r="R48" s="128"/>
    </row>
    <row r="49" spans="1:18" s="129" customFormat="1" hidden="1" x14ac:dyDescent="0.4">
      <c r="A49" s="128" t="s">
        <v>1</v>
      </c>
      <c r="B49" s="128"/>
      <c r="C49" s="128"/>
      <c r="D49" s="128"/>
      <c r="E49" s="128"/>
      <c r="F49" s="130"/>
      <c r="G49" s="128"/>
      <c r="H49" s="130"/>
      <c r="I49" s="128"/>
      <c r="J49" s="168">
        <v>0</v>
      </c>
      <c r="K49" s="128"/>
      <c r="L49" s="168">
        <v>398229.67</v>
      </c>
      <c r="M49" s="128"/>
      <c r="N49" s="128"/>
      <c r="O49" s="128"/>
      <c r="P49" s="128"/>
      <c r="Q49" s="147"/>
      <c r="R49" s="128"/>
    </row>
    <row r="50" spans="1:18" s="129" customFormat="1" hidden="1" x14ac:dyDescent="0.4">
      <c r="A50" s="128"/>
      <c r="B50" s="128"/>
      <c r="C50" s="128"/>
      <c r="D50" s="128"/>
      <c r="E50" s="128"/>
      <c r="F50" s="130"/>
      <c r="G50" s="128"/>
      <c r="H50" s="130"/>
      <c r="I50" s="128"/>
      <c r="J50" s="168"/>
      <c r="K50" s="128"/>
      <c r="L50" s="168"/>
      <c r="M50" s="128"/>
      <c r="N50" s="128"/>
      <c r="O50" s="128"/>
      <c r="P50" s="128"/>
      <c r="Q50" s="147"/>
      <c r="R50" s="128"/>
    </row>
    <row r="51" spans="1:18" ht="14.25" hidden="1" thickBot="1" x14ac:dyDescent="0.45">
      <c r="J51" s="163">
        <f>J44+J49</f>
        <v>1521262.25</v>
      </c>
      <c r="K51" s="147"/>
      <c r="L51" s="163">
        <f>L44+L49</f>
        <v>6030654.3899999997</v>
      </c>
      <c r="Q51" s="147"/>
    </row>
    <row r="52" spans="1:18" hidden="1" x14ac:dyDescent="0.4">
      <c r="J52" s="147"/>
      <c r="K52" s="147"/>
      <c r="L52" s="147"/>
      <c r="Q52" s="147"/>
    </row>
    <row r="53" spans="1:18" hidden="1" x14ac:dyDescent="0.4">
      <c r="J53" s="169" t="s">
        <v>7</v>
      </c>
      <c r="K53" s="147"/>
      <c r="L53" s="147">
        <f>L46</f>
        <v>1423762.25</v>
      </c>
      <c r="M53" s="170">
        <f>L53/L51</f>
        <v>0.23608752183857118</v>
      </c>
      <c r="Q53" s="147"/>
    </row>
    <row r="54" spans="1:18" hidden="1" x14ac:dyDescent="0.4">
      <c r="J54" s="171" t="s">
        <v>6</v>
      </c>
      <c r="L54" s="147">
        <f>L47</f>
        <v>97500</v>
      </c>
      <c r="M54" s="170">
        <f>L54/L51</f>
        <v>1.6167399704031124E-2</v>
      </c>
      <c r="Q54" s="147"/>
    </row>
    <row r="55" spans="1:18" x14ac:dyDescent="0.4">
      <c r="B55" s="172"/>
      <c r="C55" s="147"/>
      <c r="L55" s="138"/>
      <c r="Q55" s="147"/>
    </row>
    <row r="56" spans="1:18" x14ac:dyDescent="0.4">
      <c r="A56" s="191">
        <f ca="1">NOW()</f>
        <v>43964.71279351852</v>
      </c>
      <c r="B56" s="147"/>
      <c r="C56" s="147"/>
      <c r="D56" s="147"/>
      <c r="L56" s="128" t="s">
        <v>129</v>
      </c>
      <c r="Q56" s="147"/>
    </row>
    <row r="57" spans="1:18" x14ac:dyDescent="0.4">
      <c r="B57" s="147"/>
      <c r="C57" s="147"/>
      <c r="D57" s="147"/>
    </row>
    <row r="58" spans="1:18" x14ac:dyDescent="0.4">
      <c r="B58" s="147"/>
      <c r="C58" s="147"/>
      <c r="D58" s="147"/>
    </row>
    <row r="59" spans="1:18" x14ac:dyDescent="0.4">
      <c r="B59" s="147"/>
      <c r="C59" s="147"/>
      <c r="D59" s="147"/>
    </row>
    <row r="60" spans="1:18" x14ac:dyDescent="0.4">
      <c r="D60" s="147"/>
    </row>
    <row r="61" spans="1:18" x14ac:dyDescent="0.4">
      <c r="D61" s="147"/>
    </row>
    <row r="62" spans="1:18" x14ac:dyDescent="0.4">
      <c r="D62" s="147"/>
    </row>
    <row r="63" spans="1:18" x14ac:dyDescent="0.4">
      <c r="D63" s="147"/>
    </row>
    <row r="64" spans="1:18" x14ac:dyDescent="0.4">
      <c r="D64" s="147"/>
    </row>
    <row r="65" spans="2:13" x14ac:dyDescent="0.4">
      <c r="B65" s="174"/>
      <c r="D65" s="147"/>
    </row>
    <row r="67" spans="2:13" x14ac:dyDescent="0.4">
      <c r="B67" s="174"/>
      <c r="C67" s="147"/>
      <c r="D67" s="147"/>
      <c r="E67" s="147"/>
      <c r="F67" s="175"/>
      <c r="G67" s="147"/>
      <c r="H67" s="147"/>
      <c r="I67" s="147"/>
      <c r="J67" s="147"/>
      <c r="K67" s="147"/>
      <c r="L67" s="147"/>
      <c r="M67" s="147"/>
    </row>
    <row r="68" spans="2:13" x14ac:dyDescent="0.4">
      <c r="B68" s="174"/>
      <c r="C68" s="147"/>
      <c r="D68" s="147"/>
      <c r="E68" s="147"/>
      <c r="F68" s="175"/>
      <c r="G68" s="147"/>
      <c r="H68" s="147"/>
      <c r="I68" s="147"/>
      <c r="J68" s="147"/>
      <c r="K68" s="147"/>
      <c r="L68" s="147"/>
      <c r="M68" s="147"/>
    </row>
    <row r="69" spans="2:13" x14ac:dyDescent="0.4">
      <c r="B69" s="174"/>
      <c r="C69" s="147"/>
      <c r="D69" s="147"/>
      <c r="E69" s="147"/>
      <c r="F69" s="175"/>
      <c r="G69" s="147"/>
      <c r="H69" s="147"/>
      <c r="I69" s="147"/>
      <c r="J69" s="147"/>
      <c r="K69" s="147"/>
      <c r="L69" s="147"/>
      <c r="M69" s="147"/>
    </row>
    <row r="70" spans="2:13" x14ac:dyDescent="0.4">
      <c r="B70" s="174"/>
      <c r="C70" s="147"/>
      <c r="D70" s="147"/>
      <c r="E70" s="147"/>
      <c r="F70" s="175"/>
      <c r="G70" s="147"/>
      <c r="H70" s="147"/>
      <c r="I70" s="147"/>
      <c r="J70" s="147"/>
      <c r="K70" s="147"/>
      <c r="L70" s="147"/>
      <c r="M70" s="147"/>
    </row>
    <row r="71" spans="2:13" x14ac:dyDescent="0.4">
      <c r="B71" s="174"/>
      <c r="C71" s="147"/>
      <c r="D71" s="147"/>
      <c r="E71" s="147"/>
      <c r="F71" s="175"/>
      <c r="G71" s="147"/>
      <c r="H71" s="147"/>
      <c r="I71" s="147"/>
      <c r="J71" s="147"/>
      <c r="K71" s="147"/>
      <c r="L71" s="147"/>
      <c r="M71" s="147"/>
    </row>
    <row r="72" spans="2:13" x14ac:dyDescent="0.4">
      <c r="B72" s="174"/>
      <c r="C72" s="147"/>
      <c r="D72" s="147"/>
      <c r="E72" s="147"/>
      <c r="F72" s="175"/>
      <c r="G72" s="147"/>
      <c r="H72" s="147"/>
      <c r="I72" s="147"/>
      <c r="J72" s="147"/>
      <c r="K72" s="147"/>
      <c r="L72" s="147"/>
      <c r="M72" s="147"/>
    </row>
    <row r="73" spans="2:13" x14ac:dyDescent="0.4">
      <c r="B73" s="174"/>
      <c r="C73" s="147"/>
      <c r="D73" s="147"/>
      <c r="E73" s="147"/>
      <c r="F73" s="175"/>
      <c r="G73" s="147"/>
      <c r="H73" s="147"/>
      <c r="I73" s="147"/>
      <c r="J73" s="147"/>
      <c r="K73" s="147"/>
      <c r="L73" s="147"/>
      <c r="M73" s="147"/>
    </row>
    <row r="74" spans="2:13" x14ac:dyDescent="0.4">
      <c r="B74" s="174"/>
      <c r="C74" s="147"/>
      <c r="D74" s="147"/>
      <c r="E74" s="147"/>
      <c r="F74" s="175"/>
      <c r="G74" s="147"/>
      <c r="H74" s="147"/>
      <c r="I74" s="147"/>
      <c r="J74" s="147"/>
      <c r="K74" s="147"/>
      <c r="L74" s="147"/>
      <c r="M74" s="147"/>
    </row>
    <row r="75" spans="2:13" x14ac:dyDescent="0.4">
      <c r="B75" s="174"/>
    </row>
    <row r="76" spans="2:13" x14ac:dyDescent="0.4">
      <c r="B76" s="174"/>
      <c r="C76" s="138"/>
      <c r="D76" s="138"/>
      <c r="J76" s="138"/>
      <c r="L76" s="138"/>
    </row>
    <row r="77" spans="2:13" x14ac:dyDescent="0.4">
      <c r="J77" s="176"/>
      <c r="K77" s="176"/>
      <c r="L77" s="176"/>
      <c r="M77" s="176"/>
    </row>
  </sheetData>
  <mergeCells count="3">
    <mergeCell ref="A1:M1"/>
    <mergeCell ref="A2:M2"/>
    <mergeCell ref="J6:L6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2"/>
  <sheetViews>
    <sheetView zoomScaleNormal="100" workbookViewId="0">
      <selection activeCell="F7" sqref="F7"/>
    </sheetView>
  </sheetViews>
  <sheetFormatPr defaultColWidth="9.33203125" defaultRowHeight="13.9" x14ac:dyDescent="0.4"/>
  <cols>
    <col min="1" max="1" width="9.33203125" style="15"/>
    <col min="2" max="2" width="17.83203125" style="15" customWidth="1"/>
    <col min="3" max="3" width="13.5" style="15" customWidth="1"/>
    <col min="4" max="4" width="7" style="15" customWidth="1"/>
    <col min="5" max="5" width="1.1640625" style="15" customWidth="1"/>
    <col min="6" max="6" width="7" style="15" customWidth="1"/>
    <col min="7" max="7" width="1.1640625" style="15" customWidth="1"/>
    <col min="8" max="9" width="13.1640625" style="15" customWidth="1"/>
    <col min="10" max="12" width="7" style="15" customWidth="1"/>
    <col min="13" max="16384" width="9.33203125" style="15"/>
  </cols>
  <sheetData>
    <row r="3" spans="2:13" ht="19.899999999999999" x14ac:dyDescent="0.5">
      <c r="B3" s="27" t="e">
        <v>#VALUE!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2:13" x14ac:dyDescent="0.4">
      <c r="B5" s="46" t="e">
        <v>#VALUE!</v>
      </c>
      <c r="G5" s="15" t="e">
        <v>#VALUE!</v>
      </c>
    </row>
    <row r="7" spans="2:13" x14ac:dyDescent="0.4">
      <c r="B7" s="15" t="e">
        <v>#VALUE!</v>
      </c>
      <c r="D7" s="16"/>
      <c r="F7" s="15" t="e">
        <v>#VALUE!</v>
      </c>
      <c r="K7" s="16" t="e">
        <v>#VALUE!</v>
      </c>
      <c r="L7" s="31"/>
      <c r="M7" s="31"/>
    </row>
    <row r="9" spans="2:13" x14ac:dyDescent="0.4">
      <c r="B9" s="15" t="e">
        <v>#VALUE!</v>
      </c>
      <c r="F9" s="16" t="e">
        <v>#VALUE!</v>
      </c>
      <c r="H9" s="15" t="e">
        <v>#VALUE!</v>
      </c>
      <c r="J9" s="17"/>
    </row>
    <row r="11" spans="2:13" x14ac:dyDescent="0.4">
      <c r="B11" s="15" t="e">
        <v>#VALUE!</v>
      </c>
      <c r="C11" s="17" t="e">
        <v>#VALUE!</v>
      </c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2:13" x14ac:dyDescent="0.4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6"/>
    </row>
    <row r="14" spans="2:13" x14ac:dyDescent="0.4">
      <c r="B14" s="15" t="e">
        <v>#VALUE!</v>
      </c>
      <c r="C14" s="17" t="e">
        <v>#VALUE!</v>
      </c>
      <c r="D14" s="17"/>
      <c r="E14" s="17"/>
      <c r="F14" s="17"/>
      <c r="G14" s="17"/>
      <c r="H14" s="17"/>
      <c r="I14" s="17"/>
      <c r="J14" s="17"/>
      <c r="K14" s="17"/>
      <c r="L14" s="17"/>
      <c r="M14" s="16"/>
    </row>
    <row r="16" spans="2:13" x14ac:dyDescent="0.4">
      <c r="B16" s="15" t="e">
        <v>#VALUE!</v>
      </c>
      <c r="C16" s="18">
        <v>43809</v>
      </c>
      <c r="D16" s="19"/>
      <c r="E16" s="19"/>
      <c r="F16" s="19" t="e">
        <v>#VALUE!</v>
      </c>
      <c r="G16" s="19"/>
      <c r="H16" s="19"/>
      <c r="I16" s="19"/>
      <c r="J16" s="20" t="e">
        <v>#VALUE!</v>
      </c>
      <c r="K16" s="17"/>
      <c r="L16" s="17"/>
      <c r="M16" s="16"/>
    </row>
    <row r="18" spans="2:13" x14ac:dyDescent="0.4">
      <c r="B18" s="15" t="e">
        <v>#VALUE!</v>
      </c>
      <c r="D18" s="17" t="e">
        <v>#VALUE!</v>
      </c>
      <c r="E18" s="17"/>
      <c r="F18" s="17"/>
      <c r="G18" s="17"/>
      <c r="H18" s="17"/>
      <c r="I18" s="17"/>
      <c r="J18" s="17"/>
      <c r="K18" s="17"/>
      <c r="L18" s="17"/>
      <c r="M18" s="16"/>
    </row>
    <row r="19" spans="2:13" x14ac:dyDescent="0.4">
      <c r="D19" s="17" t="e">
        <v>#VALUE!</v>
      </c>
      <c r="E19" s="17"/>
      <c r="F19" s="17"/>
      <c r="G19" s="17"/>
      <c r="H19" s="17"/>
      <c r="I19" s="17"/>
      <c r="J19" s="17"/>
      <c r="K19" s="17"/>
      <c r="L19" s="17"/>
      <c r="M19" s="16"/>
    </row>
    <row r="20" spans="2:13" x14ac:dyDescent="0.4">
      <c r="D20" s="32"/>
      <c r="E20" s="32"/>
      <c r="F20" s="32"/>
      <c r="G20" s="32"/>
      <c r="H20" s="32"/>
      <c r="I20" s="32"/>
      <c r="J20" s="32"/>
      <c r="K20" s="32"/>
      <c r="L20" s="32"/>
      <c r="M20" s="30"/>
    </row>
    <row r="21" spans="2:13" x14ac:dyDescent="0.4">
      <c r="D21" s="32"/>
      <c r="E21" s="32"/>
      <c r="F21" s="32"/>
      <c r="G21" s="32"/>
      <c r="H21" s="32"/>
      <c r="I21" s="32"/>
      <c r="J21" s="32"/>
      <c r="K21" s="32"/>
      <c r="L21" s="32"/>
      <c r="M21" s="30"/>
    </row>
    <row r="22" spans="2:13" x14ac:dyDescent="0.4">
      <c r="D22" s="19"/>
      <c r="E22" s="19"/>
      <c r="F22" s="19"/>
      <c r="G22" s="19"/>
      <c r="H22" s="19"/>
      <c r="I22" s="19"/>
      <c r="J22" s="19"/>
      <c r="K22" s="19"/>
      <c r="L22" s="19"/>
      <c r="M22" s="31"/>
    </row>
    <row r="23" spans="2:13" x14ac:dyDescent="0.4">
      <c r="B23" s="15" t="e">
        <v>#VALUE!</v>
      </c>
      <c r="D23" s="21" t="e">
        <v>#VALUE!</v>
      </c>
      <c r="E23" s="17"/>
      <c r="F23" s="17"/>
      <c r="G23" s="17"/>
      <c r="H23" s="17"/>
      <c r="I23" s="17"/>
    </row>
    <row r="25" spans="2:13" x14ac:dyDescent="0.4">
      <c r="B25" s="15" t="e">
        <v>#VALUE!</v>
      </c>
      <c r="C25" s="23">
        <v>51302</v>
      </c>
      <c r="D25" s="25"/>
      <c r="E25" s="26"/>
      <c r="F25" s="26"/>
      <c r="G25" s="19"/>
      <c r="H25" s="19"/>
    </row>
    <row r="26" spans="2:13" x14ac:dyDescent="0.4">
      <c r="C26" s="24"/>
      <c r="D26" s="19"/>
      <c r="E26" s="19"/>
      <c r="F26" s="19"/>
      <c r="G26" s="19"/>
      <c r="H26" s="19"/>
    </row>
    <row r="27" spans="2:13" x14ac:dyDescent="0.4">
      <c r="B27" s="15" t="e">
        <v>#VALUE!</v>
      </c>
      <c r="C27" s="23">
        <v>43809</v>
      </c>
      <c r="D27" s="25"/>
      <c r="E27" s="26"/>
      <c r="F27" s="26"/>
      <c r="G27" s="19"/>
      <c r="H27" s="19"/>
    </row>
    <row r="28" spans="2:13" x14ac:dyDescent="0.4">
      <c r="D28" s="19"/>
      <c r="E28" s="19"/>
      <c r="F28" s="19"/>
      <c r="G28" s="19"/>
      <c r="H28" s="19"/>
    </row>
    <row r="29" spans="2:13" x14ac:dyDescent="0.4">
      <c r="B29" s="15" t="e">
        <v>#VALUE!</v>
      </c>
      <c r="H29" s="22">
        <v>44180</v>
      </c>
    </row>
    <row r="30" spans="2:13" x14ac:dyDescent="0.4">
      <c r="B30" s="15" t="e">
        <v>#VALUE!</v>
      </c>
      <c r="H30" s="22">
        <f>C25</f>
        <v>51302</v>
      </c>
    </row>
    <row r="32" spans="2:13" x14ac:dyDescent="0.4">
      <c r="B32" s="15" t="e">
        <v>#VALUE!</v>
      </c>
      <c r="H32" s="22">
        <v>43997</v>
      </c>
    </row>
    <row r="33" spans="2:13" x14ac:dyDescent="0.4">
      <c r="B33" s="15" t="e">
        <v>#VALUE!</v>
      </c>
      <c r="H33" s="22">
        <f>H30</f>
        <v>51302</v>
      </c>
    </row>
    <row r="36" spans="2:13" x14ac:dyDescent="0.4">
      <c r="D36" s="28" t="e">
        <v>#VALUE!</v>
      </c>
      <c r="F36" s="15" t="e">
        <v>#VALUE!</v>
      </c>
    </row>
    <row r="37" spans="2:13" x14ac:dyDescent="0.4">
      <c r="D37" s="29"/>
    </row>
    <row r="38" spans="2:13" x14ac:dyDescent="0.4">
      <c r="D38" s="28"/>
      <c r="F38" s="15" t="e">
        <v>#VALUE!</v>
      </c>
    </row>
    <row r="39" spans="2:13" x14ac:dyDescent="0.4">
      <c r="D39" s="29"/>
    </row>
    <row r="40" spans="2:13" x14ac:dyDescent="0.4">
      <c r="D40" s="28" t="e">
        <v>#VALUE!</v>
      </c>
      <c r="F40" s="15" t="e">
        <v>#VALUE!</v>
      </c>
    </row>
    <row r="41" spans="2:13" x14ac:dyDescent="0.4">
      <c r="D41" s="31"/>
      <c r="F41" s="15" t="e">
        <v>#VALUE!</v>
      </c>
    </row>
    <row r="42" spans="2:13" x14ac:dyDescent="0.4">
      <c r="D42" s="29"/>
    </row>
    <row r="43" spans="2:13" x14ac:dyDescent="0.4">
      <c r="D43" s="15" t="e">
        <v>#VALUE!</v>
      </c>
    </row>
    <row r="44" spans="2:13" x14ac:dyDescent="0.4">
      <c r="D44" s="15" t="e">
        <v>#VALUE!</v>
      </c>
    </row>
    <row r="47" spans="2:13" x14ac:dyDescent="0.4">
      <c r="H47" s="15" t="e">
        <v>#VALUE!</v>
      </c>
      <c r="J47" s="17"/>
      <c r="K47" s="17"/>
      <c r="L47" s="17"/>
      <c r="M47" s="17"/>
    </row>
    <row r="48" spans="2:13" x14ac:dyDescent="0.4">
      <c r="H48" s="15" t="e">
        <v>#VALUE!</v>
      </c>
      <c r="J48" s="201" t="e">
        <v>#VALUE!</v>
      </c>
      <c r="K48" s="201"/>
      <c r="L48" s="201"/>
      <c r="M48" s="201"/>
    </row>
    <row r="49" spans="2:13" x14ac:dyDescent="0.4">
      <c r="H49" s="15" t="e">
        <v>#VALUE!</v>
      </c>
      <c r="J49" s="202">
        <v>43850</v>
      </c>
      <c r="K49" s="201">
        <v>42613</v>
      </c>
      <c r="L49" s="201"/>
      <c r="M49" s="201"/>
    </row>
    <row r="50" spans="2:13" x14ac:dyDescent="0.4">
      <c r="H50" s="15" t="e">
        <v>#VALUE!</v>
      </c>
      <c r="J50" s="201" t="e">
        <v>#VALUE!</v>
      </c>
      <c r="K50" s="201" t="e">
        <v>#VALUE!</v>
      </c>
      <c r="L50" s="201"/>
      <c r="M50" s="201"/>
    </row>
    <row r="52" spans="2:13" x14ac:dyDescent="0.4">
      <c r="B52" s="15" t="e">
        <v>#VALUE!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81"/>
  <sheetViews>
    <sheetView zoomScale="90" zoomScaleNormal="90" zoomScaleSheetLayoutView="100" workbookViewId="0">
      <pane xSplit="1" ySplit="9" topLeftCell="B61" activePane="bottomRight" state="frozen"/>
      <selection activeCell="M7" sqref="M7"/>
      <selection pane="topRight" activeCell="M7" sqref="M7"/>
      <selection pane="bottomLeft" activeCell="M7" sqref="M7"/>
      <selection pane="bottomRight" activeCell="A76" sqref="A76:C76"/>
    </sheetView>
  </sheetViews>
  <sheetFormatPr defaultColWidth="10.6640625" defaultRowHeight="13.15" x14ac:dyDescent="0.4"/>
  <cols>
    <col min="1" max="1" width="18.83203125" style="38" customWidth="1"/>
    <col min="2" max="2" width="7.5" style="38" customWidth="1"/>
    <col min="3" max="3" width="16.1640625" style="38" customWidth="1"/>
    <col min="4" max="4" width="4.5" style="38" customWidth="1"/>
    <col min="5" max="5" width="18.1640625" style="39" customWidth="1"/>
    <col min="6" max="6" width="4.5" style="39" customWidth="1"/>
    <col min="7" max="7" width="20.1640625" style="39" customWidth="1"/>
    <col min="8" max="8" width="4.5" style="39" customWidth="1"/>
    <col min="9" max="9" width="18.1640625" style="39" customWidth="1"/>
    <col min="10" max="10" width="4.5" style="39" customWidth="1"/>
    <col min="11" max="11" width="18.1640625" style="39" customWidth="1"/>
    <col min="12" max="12" width="4.5" style="39" customWidth="1"/>
    <col min="13" max="13" width="20.5" style="39" customWidth="1"/>
    <col min="14" max="14" width="19.83203125" style="39" customWidth="1"/>
    <col min="15" max="18" width="18.5" style="39" customWidth="1"/>
    <col min="19" max="19" width="10.6640625" style="39"/>
    <col min="20" max="23" width="18.5" style="39" customWidth="1"/>
    <col min="24" max="16384" width="10.6640625" style="39"/>
  </cols>
  <sheetData>
    <row r="1" spans="1:23" s="36" customFormat="1" ht="17.649999999999999" x14ac:dyDescent="0.5">
      <c r="A1" s="186" t="str">
        <f>COI!A1</f>
        <v>MPEA 2020A Expansion Project Bond Deal</v>
      </c>
      <c r="B1" s="186"/>
      <c r="C1" s="51"/>
      <c r="D1" s="51"/>
      <c r="E1" s="51"/>
      <c r="F1" s="51"/>
      <c r="G1" s="51"/>
      <c r="H1" s="52"/>
      <c r="I1" s="51"/>
      <c r="J1" s="52"/>
      <c r="K1" s="53"/>
      <c r="L1" s="52"/>
      <c r="M1" s="53"/>
      <c r="O1" s="53"/>
      <c r="P1" s="53"/>
      <c r="Q1" s="53"/>
      <c r="R1" s="53"/>
      <c r="T1" s="53"/>
      <c r="U1" s="53"/>
      <c r="V1" s="53"/>
      <c r="W1" s="53"/>
    </row>
    <row r="2" spans="1:23" s="36" customFormat="1" ht="17.649999999999999" x14ac:dyDescent="0.5">
      <c r="A2" s="50" t="s">
        <v>39</v>
      </c>
      <c r="B2" s="50"/>
      <c r="C2" s="51"/>
      <c r="D2" s="51"/>
      <c r="E2" s="51"/>
      <c r="F2" s="51"/>
      <c r="G2" s="51"/>
      <c r="H2" s="52"/>
      <c r="I2" s="51"/>
      <c r="J2" s="52"/>
      <c r="K2" s="53"/>
      <c r="L2" s="52"/>
      <c r="M2" s="53"/>
      <c r="O2" s="53"/>
      <c r="P2" s="53"/>
      <c r="Q2" s="53"/>
      <c r="R2" s="53"/>
      <c r="T2" s="53"/>
      <c r="U2" s="53"/>
      <c r="V2" s="53"/>
      <c r="W2" s="53"/>
    </row>
    <row r="3" spans="1:23" s="35" customFormat="1" ht="15.4" x14ac:dyDescent="0.45">
      <c r="A3" s="54" t="s">
        <v>111</v>
      </c>
      <c r="B3" s="54"/>
      <c r="C3" s="55"/>
      <c r="D3" s="55"/>
      <c r="E3" s="55"/>
      <c r="F3" s="55"/>
      <c r="G3" s="55"/>
      <c r="H3" s="56"/>
      <c r="I3" s="55"/>
      <c r="J3" s="56"/>
      <c r="K3" s="57"/>
      <c r="L3" s="56"/>
      <c r="M3" s="57"/>
      <c r="O3" s="57"/>
      <c r="P3" s="57"/>
      <c r="Q3" s="57"/>
      <c r="R3" s="57"/>
      <c r="T3" s="57"/>
      <c r="U3" s="57"/>
      <c r="V3" s="57"/>
      <c r="W3" s="57"/>
    </row>
    <row r="4" spans="1:23" s="34" customFormat="1" ht="13.9" x14ac:dyDescent="0.4">
      <c r="A4" s="8"/>
      <c r="B4" s="8"/>
      <c r="C4" s="8"/>
      <c r="D4" s="8"/>
      <c r="E4" s="11"/>
      <c r="F4" s="11"/>
      <c r="G4" s="11"/>
      <c r="H4" s="11"/>
      <c r="I4" s="11"/>
      <c r="J4" s="11"/>
      <c r="K4" s="11"/>
      <c r="L4" s="11"/>
      <c r="M4" s="11"/>
      <c r="O4" s="11"/>
      <c r="P4" s="11"/>
      <c r="Q4" s="11"/>
      <c r="R4" s="11"/>
      <c r="T4" s="11"/>
      <c r="U4" s="11"/>
      <c r="V4" s="11"/>
      <c r="W4" s="11"/>
    </row>
    <row r="5" spans="1:23" s="34" customFormat="1" ht="13.9" x14ac:dyDescent="0.4">
      <c r="A5" s="8"/>
      <c r="B5" s="41" t="s">
        <v>28</v>
      </c>
      <c r="C5" s="8"/>
      <c r="D5" s="8"/>
      <c r="E5" s="42">
        <v>43907</v>
      </c>
      <c r="F5" s="11"/>
      <c r="G5" s="11"/>
      <c r="H5" s="11"/>
      <c r="I5" s="11"/>
      <c r="J5" s="11"/>
      <c r="K5" s="11"/>
      <c r="L5" s="11"/>
      <c r="M5" s="11"/>
      <c r="O5" s="11"/>
      <c r="P5" s="11"/>
      <c r="Q5" s="11"/>
      <c r="R5" s="11"/>
      <c r="T5" s="11"/>
      <c r="U5" s="11"/>
      <c r="V5" s="11"/>
      <c r="W5" s="11"/>
    </row>
    <row r="6" spans="1:23" s="34" customFormat="1" ht="13.9" x14ac:dyDescent="0.4">
      <c r="A6" s="8"/>
      <c r="B6" s="8"/>
      <c r="C6" s="8"/>
      <c r="D6" s="8"/>
      <c r="E6" s="11"/>
      <c r="F6" s="11"/>
      <c r="G6" s="11"/>
      <c r="H6" s="11"/>
      <c r="I6" s="11"/>
      <c r="J6" s="11"/>
      <c r="K6" s="11"/>
      <c r="L6" s="11"/>
      <c r="M6" s="11"/>
      <c r="O6" s="11"/>
      <c r="P6" s="11"/>
      <c r="Q6" s="11"/>
      <c r="R6" s="11"/>
      <c r="T6" s="11"/>
      <c r="U6" s="11"/>
      <c r="V6" s="11"/>
      <c r="W6" s="11"/>
    </row>
    <row r="7" spans="1:23" s="37" customFormat="1" ht="13.5" x14ac:dyDescent="0.35">
      <c r="A7" s="33" t="s">
        <v>25</v>
      </c>
      <c r="B7" s="33"/>
      <c r="C7" s="33" t="s">
        <v>29</v>
      </c>
      <c r="D7" s="33"/>
      <c r="E7" s="11"/>
      <c r="F7" s="11"/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T7" s="11"/>
      <c r="U7" s="11"/>
      <c r="V7" s="11"/>
      <c r="W7" s="11"/>
    </row>
    <row r="8" spans="1:23" s="34" customFormat="1" ht="13.9" x14ac:dyDescent="0.4">
      <c r="A8" s="9" t="s">
        <v>26</v>
      </c>
      <c r="B8" s="9"/>
      <c r="C8" s="9" t="s">
        <v>30</v>
      </c>
      <c r="D8" s="9"/>
      <c r="E8" s="11" t="s">
        <v>32</v>
      </c>
      <c r="F8" s="11"/>
      <c r="G8" s="10"/>
      <c r="H8" s="11"/>
      <c r="I8" s="11" t="s">
        <v>35</v>
      </c>
      <c r="J8" s="11"/>
      <c r="K8" s="11" t="s">
        <v>37</v>
      </c>
      <c r="L8" s="11"/>
      <c r="M8" s="11"/>
      <c r="N8" s="11"/>
      <c r="O8" s="11"/>
      <c r="P8" s="11"/>
      <c r="Q8" s="11"/>
      <c r="R8" s="11"/>
      <c r="T8" s="11"/>
      <c r="U8" s="11"/>
      <c r="V8" s="11"/>
      <c r="W8" s="11"/>
    </row>
    <row r="9" spans="1:23" s="34" customFormat="1" ht="13.9" x14ac:dyDescent="0.4">
      <c r="A9" s="12" t="s">
        <v>27</v>
      </c>
      <c r="B9" s="12"/>
      <c r="C9" s="12" t="s">
        <v>31</v>
      </c>
      <c r="D9" s="12"/>
      <c r="E9" s="10" t="s">
        <v>33</v>
      </c>
      <c r="F9" s="10"/>
      <c r="G9" s="10" t="s">
        <v>34</v>
      </c>
      <c r="H9" s="10"/>
      <c r="I9" s="10" t="s">
        <v>36</v>
      </c>
      <c r="J9" s="10"/>
      <c r="K9" s="10" t="s">
        <v>36</v>
      </c>
      <c r="L9" s="10"/>
      <c r="M9" s="10" t="s">
        <v>38</v>
      </c>
      <c r="N9" s="10"/>
      <c r="O9" s="10"/>
      <c r="P9" s="10"/>
      <c r="Q9" s="10"/>
      <c r="R9" s="10"/>
      <c r="T9" s="10"/>
      <c r="U9" s="10"/>
      <c r="V9" s="10"/>
      <c r="W9" s="10"/>
    </row>
    <row r="10" spans="1:23" ht="13.9" x14ac:dyDescent="0.4">
      <c r="A10" s="8">
        <v>43814</v>
      </c>
      <c r="B10" s="8"/>
      <c r="C10" s="8"/>
      <c r="D10" s="6"/>
      <c r="E10" s="5"/>
      <c r="F10" s="45"/>
      <c r="G10" s="5">
        <f>'Series Detail'!AC12</f>
        <v>0</v>
      </c>
      <c r="H10" s="45"/>
      <c r="I10" s="5">
        <f>'Series Detail'!AD12</f>
        <v>0</v>
      </c>
      <c r="J10" s="45"/>
      <c r="K10" s="5">
        <f>'Series Detail'!AE12</f>
        <v>0</v>
      </c>
      <c r="L10" s="45"/>
      <c r="M10" s="5">
        <f t="shared" ref="M10:M71" si="0">SUM(E10:L10)</f>
        <v>0</v>
      </c>
      <c r="N10" s="4"/>
      <c r="O10" s="5"/>
      <c r="P10" s="5"/>
      <c r="Q10" s="5"/>
      <c r="R10" s="5"/>
      <c r="T10" s="5"/>
      <c r="U10" s="5"/>
      <c r="V10" s="5"/>
      <c r="W10" s="5"/>
    </row>
    <row r="11" spans="1:23" ht="13.9" x14ac:dyDescent="0.4">
      <c r="A11" s="8">
        <v>43997</v>
      </c>
      <c r="B11" s="8"/>
      <c r="C11" s="8"/>
      <c r="D11" s="6"/>
      <c r="E11" s="5"/>
      <c r="F11" s="45"/>
      <c r="G11" s="5">
        <f>'Series Detail'!AC13</f>
        <v>9710616.6699999999</v>
      </c>
      <c r="H11" s="45"/>
      <c r="I11" s="5">
        <f>'Series Detail'!AD13</f>
        <v>0</v>
      </c>
      <c r="J11" s="45"/>
      <c r="K11" s="5">
        <f>'Series Detail'!AE13</f>
        <v>-9710616.6699999999</v>
      </c>
      <c r="L11" s="45"/>
      <c r="M11" s="5">
        <f t="shared" si="0"/>
        <v>0</v>
      </c>
      <c r="N11" s="5"/>
      <c r="O11" s="5"/>
      <c r="P11" s="5"/>
      <c r="Q11" s="5"/>
      <c r="R11" s="5"/>
      <c r="T11" s="5"/>
      <c r="U11" s="5"/>
      <c r="V11" s="5"/>
      <c r="W11" s="5"/>
    </row>
    <row r="12" spans="1:23" ht="13.9" x14ac:dyDescent="0.4">
      <c r="A12" s="8">
        <v>44180</v>
      </c>
      <c r="B12" s="8"/>
      <c r="C12" s="6"/>
      <c r="D12" s="6"/>
      <c r="E12" s="5"/>
      <c r="F12" s="45"/>
      <c r="G12" s="5">
        <f>'Series Detail'!AC14</f>
        <v>19862625</v>
      </c>
      <c r="H12" s="45"/>
      <c r="I12" s="5">
        <f>'Series Detail'!AD14</f>
        <v>0</v>
      </c>
      <c r="J12" s="45"/>
      <c r="K12" s="5">
        <f>'Series Detail'!AE14</f>
        <v>-14251261.449999999</v>
      </c>
      <c r="L12" s="45"/>
      <c r="M12" s="5">
        <f>SUM(E12:L12)</f>
        <v>5611363.5500000007</v>
      </c>
      <c r="N12" s="4"/>
      <c r="O12" s="5"/>
      <c r="P12" s="5"/>
      <c r="Q12" s="5"/>
      <c r="R12" s="5"/>
      <c r="T12" s="5"/>
      <c r="U12" s="5"/>
      <c r="V12" s="5"/>
      <c r="W12" s="5"/>
    </row>
    <row r="13" spans="1:23" ht="13.9" x14ac:dyDescent="0.4">
      <c r="A13" s="8">
        <v>44362</v>
      </c>
      <c r="B13" s="8"/>
      <c r="C13" s="6"/>
      <c r="D13" s="6"/>
      <c r="E13" s="5"/>
      <c r="F13" s="45"/>
      <c r="G13" s="5">
        <f>'Series Detail'!AC15</f>
        <v>19862625</v>
      </c>
      <c r="H13" s="45"/>
      <c r="I13" s="5">
        <f>'Series Detail'!AD15</f>
        <v>0</v>
      </c>
      <c r="J13" s="45"/>
      <c r="K13" s="5">
        <f>'Series Detail'!AE15</f>
        <v>0</v>
      </c>
      <c r="L13" s="45"/>
      <c r="M13" s="5">
        <f t="shared" si="0"/>
        <v>19862625</v>
      </c>
      <c r="N13" s="5"/>
      <c r="O13" s="5"/>
      <c r="P13" s="5"/>
      <c r="Q13" s="5"/>
      <c r="R13" s="5"/>
      <c r="T13" s="5"/>
      <c r="U13" s="5"/>
      <c r="V13" s="5"/>
      <c r="W13" s="5"/>
    </row>
    <row r="14" spans="1:23" ht="13.9" x14ac:dyDescent="0.4">
      <c r="A14" s="8">
        <v>44545</v>
      </c>
      <c r="B14" s="8"/>
      <c r="C14" s="6"/>
      <c r="D14" s="6"/>
      <c r="E14" s="5"/>
      <c r="F14" s="45"/>
      <c r="G14" s="5">
        <f>'Series Detail'!AC16</f>
        <v>19862625</v>
      </c>
      <c r="H14" s="45"/>
      <c r="I14" s="5">
        <f>'Series Detail'!AD16</f>
        <v>0</v>
      </c>
      <c r="J14" s="45"/>
      <c r="K14" s="5">
        <f>'Series Detail'!AE16</f>
        <v>0</v>
      </c>
      <c r="L14" s="45"/>
      <c r="M14" s="5">
        <f t="shared" si="0"/>
        <v>19862625</v>
      </c>
      <c r="N14" s="4"/>
      <c r="O14" s="5"/>
      <c r="P14" s="5"/>
      <c r="Q14" s="5"/>
      <c r="R14" s="5"/>
      <c r="T14" s="5"/>
      <c r="U14" s="5"/>
      <c r="V14" s="5"/>
      <c r="W14" s="5"/>
    </row>
    <row r="15" spans="1:23" ht="13.9" x14ac:dyDescent="0.4">
      <c r="A15" s="8">
        <v>44727</v>
      </c>
      <c r="B15" s="8"/>
      <c r="C15" s="6"/>
      <c r="D15" s="6"/>
      <c r="E15" s="5"/>
      <c r="F15" s="45"/>
      <c r="G15" s="5">
        <f>'Series Detail'!AC17</f>
        <v>19862625</v>
      </c>
      <c r="H15" s="45"/>
      <c r="I15" s="5">
        <f>'Series Detail'!AD17</f>
        <v>0</v>
      </c>
      <c r="J15" s="45"/>
      <c r="K15" s="5">
        <f>'Series Detail'!AE17</f>
        <v>0</v>
      </c>
      <c r="L15" s="45"/>
      <c r="M15" s="5">
        <f t="shared" si="0"/>
        <v>19862625</v>
      </c>
      <c r="N15" s="5"/>
      <c r="O15" s="5"/>
      <c r="P15" s="5"/>
      <c r="Q15" s="5"/>
      <c r="R15" s="5"/>
      <c r="T15" s="5"/>
      <c r="U15" s="5"/>
      <c r="V15" s="5"/>
      <c r="W15" s="5"/>
    </row>
    <row r="16" spans="1:23" ht="13.9" x14ac:dyDescent="0.4">
      <c r="A16" s="8">
        <v>44910</v>
      </c>
      <c r="B16" s="8"/>
      <c r="C16" s="6"/>
      <c r="D16" s="6"/>
      <c r="E16" s="5"/>
      <c r="F16" s="45"/>
      <c r="G16" s="5">
        <f>'Series Detail'!AC18</f>
        <v>19862625</v>
      </c>
      <c r="H16" s="45"/>
      <c r="I16" s="5">
        <f>'Series Detail'!AD18</f>
        <v>0</v>
      </c>
      <c r="J16" s="45"/>
      <c r="K16" s="5">
        <f>'Series Detail'!AE18</f>
        <v>0</v>
      </c>
      <c r="L16" s="45"/>
      <c r="M16" s="5">
        <f t="shared" si="0"/>
        <v>19862625</v>
      </c>
      <c r="N16" s="4"/>
      <c r="O16" s="5"/>
      <c r="P16" s="5"/>
      <c r="Q16" s="5"/>
      <c r="R16" s="5"/>
      <c r="T16" s="5"/>
      <c r="U16" s="5"/>
      <c r="V16" s="5"/>
      <c r="W16" s="5"/>
    </row>
    <row r="17" spans="1:23" ht="13.9" x14ac:dyDescent="0.4">
      <c r="A17" s="8">
        <v>45092</v>
      </c>
      <c r="B17" s="8"/>
      <c r="C17" s="6"/>
      <c r="D17" s="6"/>
      <c r="E17" s="5"/>
      <c r="F17" s="45"/>
      <c r="G17" s="5">
        <f>'Series Detail'!AC19</f>
        <v>19862625</v>
      </c>
      <c r="H17" s="45"/>
      <c r="I17" s="5">
        <f>'Series Detail'!AD19</f>
        <v>0</v>
      </c>
      <c r="J17" s="45"/>
      <c r="K17" s="5">
        <f>'Series Detail'!AE19</f>
        <v>0</v>
      </c>
      <c r="L17" s="45"/>
      <c r="M17" s="5">
        <f t="shared" si="0"/>
        <v>19862625</v>
      </c>
      <c r="N17" s="5"/>
      <c r="O17" s="5"/>
      <c r="P17" s="5"/>
      <c r="Q17" s="5"/>
      <c r="R17" s="5"/>
      <c r="T17" s="5"/>
      <c r="U17" s="5"/>
      <c r="V17" s="5"/>
      <c r="W17" s="5"/>
    </row>
    <row r="18" spans="1:23" ht="13.9" x14ac:dyDescent="0.4">
      <c r="A18" s="8">
        <v>45275</v>
      </c>
      <c r="B18" s="8"/>
      <c r="C18" s="6"/>
      <c r="D18" s="6"/>
      <c r="E18" s="5"/>
      <c r="F18" s="45"/>
      <c r="G18" s="5">
        <f>'Series Detail'!AC20</f>
        <v>19862625</v>
      </c>
      <c r="H18" s="45"/>
      <c r="I18" s="5">
        <f>'Series Detail'!AD20</f>
        <v>0</v>
      </c>
      <c r="J18" s="45"/>
      <c r="K18" s="5">
        <f>'Series Detail'!AE20</f>
        <v>0</v>
      </c>
      <c r="L18" s="45"/>
      <c r="M18" s="5">
        <f t="shared" si="0"/>
        <v>19862625</v>
      </c>
      <c r="N18" s="4"/>
      <c r="O18" s="5"/>
      <c r="P18" s="5"/>
      <c r="Q18" s="5"/>
      <c r="R18" s="5"/>
      <c r="T18" s="5"/>
      <c r="U18" s="5"/>
      <c r="V18" s="5"/>
      <c r="W18" s="5"/>
    </row>
    <row r="19" spans="1:23" ht="13.9" x14ac:dyDescent="0.4">
      <c r="A19" s="8">
        <v>45458</v>
      </c>
      <c r="B19" s="8"/>
      <c r="C19" s="6"/>
      <c r="D19" s="6"/>
      <c r="E19" s="5"/>
      <c r="F19" s="45"/>
      <c r="G19" s="5">
        <f>'Series Detail'!AC21</f>
        <v>19862625</v>
      </c>
      <c r="H19" s="45"/>
      <c r="I19" s="5">
        <f>'Series Detail'!AD21</f>
        <v>0</v>
      </c>
      <c r="J19" s="45"/>
      <c r="K19" s="5">
        <f>'Series Detail'!AE21</f>
        <v>0</v>
      </c>
      <c r="L19" s="45"/>
      <c r="M19" s="5">
        <f t="shared" si="0"/>
        <v>19862625</v>
      </c>
      <c r="N19" s="5"/>
      <c r="O19" s="5"/>
      <c r="P19" s="5"/>
      <c r="Q19" s="5"/>
      <c r="R19" s="5"/>
      <c r="T19" s="5"/>
      <c r="U19" s="5"/>
      <c r="V19" s="5"/>
      <c r="W19" s="5"/>
    </row>
    <row r="20" spans="1:23" ht="13.9" x14ac:dyDescent="0.4">
      <c r="A20" s="8">
        <v>45641</v>
      </c>
      <c r="B20" s="8"/>
      <c r="C20" s="6"/>
      <c r="D20" s="6"/>
      <c r="E20" s="5"/>
      <c r="F20" s="45"/>
      <c r="G20" s="5">
        <f>'Series Detail'!AC22</f>
        <v>19862625</v>
      </c>
      <c r="H20" s="45"/>
      <c r="I20" s="5">
        <f>'Series Detail'!AD22</f>
        <v>0</v>
      </c>
      <c r="J20" s="45"/>
      <c r="K20" s="5">
        <f>'Series Detail'!AE22</f>
        <v>0</v>
      </c>
      <c r="L20" s="45"/>
      <c r="M20" s="5">
        <f t="shared" si="0"/>
        <v>19862625</v>
      </c>
      <c r="N20" s="4"/>
      <c r="O20" s="5"/>
      <c r="P20" s="5"/>
      <c r="Q20" s="5"/>
      <c r="R20" s="5"/>
      <c r="T20" s="5"/>
      <c r="U20" s="5"/>
      <c r="V20" s="5"/>
      <c r="W20" s="5"/>
    </row>
    <row r="21" spans="1:23" ht="13.9" x14ac:dyDescent="0.4">
      <c r="A21" s="8">
        <v>45823</v>
      </c>
      <c r="B21" s="8"/>
      <c r="C21" s="6"/>
      <c r="D21" s="6"/>
      <c r="E21" s="5"/>
      <c r="F21" s="45"/>
      <c r="G21" s="5">
        <f>'Series Detail'!AC23</f>
        <v>19862625</v>
      </c>
      <c r="H21" s="45"/>
      <c r="I21" s="5">
        <f>'Series Detail'!AD23</f>
        <v>0</v>
      </c>
      <c r="J21" s="45"/>
      <c r="K21" s="5">
        <f>'Series Detail'!AE23</f>
        <v>0</v>
      </c>
      <c r="L21" s="45"/>
      <c r="M21" s="5">
        <f t="shared" si="0"/>
        <v>19862625</v>
      </c>
      <c r="N21" s="5"/>
      <c r="O21" s="5"/>
      <c r="P21" s="5"/>
      <c r="Q21" s="5"/>
      <c r="R21" s="5"/>
      <c r="T21" s="5"/>
      <c r="U21" s="5"/>
      <c r="V21" s="5"/>
      <c r="W21" s="5"/>
    </row>
    <row r="22" spans="1:23" ht="13.9" x14ac:dyDescent="0.4">
      <c r="A22" s="8">
        <v>46006</v>
      </c>
      <c r="B22" s="8"/>
      <c r="C22" s="6"/>
      <c r="D22" s="6"/>
      <c r="E22" s="5"/>
      <c r="F22" s="45"/>
      <c r="G22" s="5">
        <f>'Series Detail'!AC24</f>
        <v>19862625</v>
      </c>
      <c r="H22" s="45"/>
      <c r="I22" s="5">
        <f>'Series Detail'!AD24</f>
        <v>0</v>
      </c>
      <c r="J22" s="45"/>
      <c r="K22" s="5">
        <f>'Series Detail'!AE24</f>
        <v>0</v>
      </c>
      <c r="L22" s="45"/>
      <c r="M22" s="5">
        <f t="shared" si="0"/>
        <v>19862625</v>
      </c>
      <c r="N22" s="4"/>
      <c r="O22" s="5"/>
      <c r="P22" s="5"/>
      <c r="Q22" s="5"/>
      <c r="R22" s="5"/>
      <c r="T22" s="5"/>
      <c r="U22" s="5"/>
      <c r="V22" s="5"/>
      <c r="W22" s="5"/>
    </row>
    <row r="23" spans="1:23" ht="13.9" x14ac:dyDescent="0.4">
      <c r="A23" s="8">
        <v>46188</v>
      </c>
      <c r="B23" s="8"/>
      <c r="C23" s="6"/>
      <c r="D23" s="6"/>
      <c r="E23" s="5"/>
      <c r="F23" s="45"/>
      <c r="G23" s="5">
        <f>'Series Detail'!AC25</f>
        <v>19862625</v>
      </c>
      <c r="H23" s="45"/>
      <c r="I23" s="5">
        <f>'Series Detail'!AD25</f>
        <v>0</v>
      </c>
      <c r="J23" s="45"/>
      <c r="K23" s="5">
        <f>'Series Detail'!AE25</f>
        <v>0</v>
      </c>
      <c r="L23" s="45"/>
      <c r="M23" s="5">
        <f t="shared" si="0"/>
        <v>19862625</v>
      </c>
      <c r="N23" s="5"/>
      <c r="O23" s="5"/>
      <c r="P23" s="5"/>
      <c r="Q23" s="5"/>
      <c r="R23" s="5"/>
      <c r="T23" s="5"/>
      <c r="U23" s="5"/>
      <c r="V23" s="5"/>
      <c r="W23" s="5"/>
    </row>
    <row r="24" spans="1:23" ht="13.9" x14ac:dyDescent="0.4">
      <c r="A24" s="8">
        <v>46371</v>
      </c>
      <c r="B24" s="8"/>
      <c r="C24" s="6"/>
      <c r="D24" s="6"/>
      <c r="E24" s="5"/>
      <c r="F24" s="45"/>
      <c r="G24" s="5">
        <f>'Series Detail'!AC26</f>
        <v>19862625</v>
      </c>
      <c r="H24" s="45"/>
      <c r="I24" s="5">
        <f>'Series Detail'!AD26</f>
        <v>0</v>
      </c>
      <c r="J24" s="45"/>
      <c r="K24" s="5">
        <f>'Series Detail'!AE26</f>
        <v>0</v>
      </c>
      <c r="L24" s="45"/>
      <c r="M24" s="5">
        <f t="shared" si="0"/>
        <v>19862625</v>
      </c>
      <c r="N24" s="4"/>
      <c r="O24" s="5"/>
      <c r="P24" s="5"/>
      <c r="Q24" s="5"/>
      <c r="R24" s="5"/>
      <c r="T24" s="5"/>
      <c r="U24" s="5"/>
      <c r="V24" s="5"/>
      <c r="W24" s="5"/>
    </row>
    <row r="25" spans="1:23" ht="13.9" x14ac:dyDescent="0.4">
      <c r="A25" s="8">
        <v>46553</v>
      </c>
      <c r="B25" s="8"/>
      <c r="C25" s="6"/>
      <c r="D25" s="6"/>
      <c r="E25" s="5"/>
      <c r="F25" s="45"/>
      <c r="G25" s="5">
        <f>'Series Detail'!AC27</f>
        <v>19862625</v>
      </c>
      <c r="H25" s="45"/>
      <c r="I25" s="5">
        <f>'Series Detail'!AD27</f>
        <v>0</v>
      </c>
      <c r="J25" s="45"/>
      <c r="K25" s="5">
        <f>'Series Detail'!AE27</f>
        <v>0</v>
      </c>
      <c r="L25" s="45"/>
      <c r="M25" s="5">
        <f t="shared" si="0"/>
        <v>19862625</v>
      </c>
      <c r="N25" s="5"/>
      <c r="O25" s="5"/>
      <c r="P25" s="5"/>
      <c r="Q25" s="5"/>
      <c r="R25" s="5"/>
      <c r="T25" s="5"/>
      <c r="U25" s="5"/>
      <c r="V25" s="5"/>
      <c r="W25" s="5"/>
    </row>
    <row r="26" spans="1:23" ht="13.9" x14ac:dyDescent="0.4">
      <c r="A26" s="8">
        <v>46736</v>
      </c>
      <c r="B26" s="8"/>
      <c r="C26" s="6"/>
      <c r="D26" s="6"/>
      <c r="E26" s="5"/>
      <c r="F26" s="45"/>
      <c r="G26" s="5">
        <f>'Series Detail'!AC28</f>
        <v>19862625</v>
      </c>
      <c r="H26" s="45"/>
      <c r="I26" s="5">
        <f>'Series Detail'!AD28</f>
        <v>0</v>
      </c>
      <c r="J26" s="45"/>
      <c r="K26" s="5">
        <f>'Series Detail'!AE28</f>
        <v>0</v>
      </c>
      <c r="L26" s="45"/>
      <c r="M26" s="5">
        <f t="shared" si="0"/>
        <v>19862625</v>
      </c>
      <c r="N26" s="4"/>
      <c r="O26" s="5"/>
      <c r="P26" s="5"/>
      <c r="Q26" s="5"/>
      <c r="R26" s="5"/>
      <c r="T26" s="5"/>
      <c r="U26" s="5"/>
      <c r="V26" s="5"/>
      <c r="W26" s="5"/>
    </row>
    <row r="27" spans="1:23" ht="13.9" x14ac:dyDescent="0.4">
      <c r="A27" s="8">
        <v>46919</v>
      </c>
      <c r="B27" s="8"/>
      <c r="C27" s="6"/>
      <c r="D27" s="6"/>
      <c r="E27" s="5"/>
      <c r="F27" s="45"/>
      <c r="G27" s="5">
        <f>'Series Detail'!AC29</f>
        <v>19862625</v>
      </c>
      <c r="H27" s="45"/>
      <c r="I27" s="5">
        <f>'Series Detail'!AD29</f>
        <v>0</v>
      </c>
      <c r="J27" s="45"/>
      <c r="K27" s="5">
        <f>'Series Detail'!AE29</f>
        <v>0</v>
      </c>
      <c r="L27" s="45"/>
      <c r="M27" s="5">
        <f t="shared" si="0"/>
        <v>19862625</v>
      </c>
      <c r="N27" s="5"/>
      <c r="O27" s="5"/>
      <c r="P27" s="5"/>
      <c r="Q27" s="5"/>
      <c r="R27" s="5"/>
      <c r="T27" s="5"/>
      <c r="U27" s="5"/>
      <c r="V27" s="5"/>
      <c r="W27" s="5"/>
    </row>
    <row r="28" spans="1:23" ht="13.9" x14ac:dyDescent="0.4">
      <c r="A28" s="8">
        <v>47102</v>
      </c>
      <c r="B28" s="8"/>
      <c r="C28" s="6"/>
      <c r="D28" s="6"/>
      <c r="E28" s="5"/>
      <c r="F28" s="45"/>
      <c r="G28" s="5">
        <f>'Series Detail'!AC30</f>
        <v>19862625</v>
      </c>
      <c r="H28" s="45"/>
      <c r="I28" s="5">
        <f>'Series Detail'!AD30</f>
        <v>0</v>
      </c>
      <c r="J28" s="45"/>
      <c r="K28" s="5">
        <f>'Series Detail'!AE30</f>
        <v>0</v>
      </c>
      <c r="L28" s="45"/>
      <c r="M28" s="5">
        <f t="shared" si="0"/>
        <v>19862625</v>
      </c>
      <c r="N28" s="4"/>
      <c r="O28" s="5"/>
      <c r="P28" s="5"/>
      <c r="Q28" s="5"/>
      <c r="R28" s="5"/>
      <c r="T28" s="5"/>
      <c r="U28" s="5"/>
      <c r="V28" s="5"/>
      <c r="W28" s="5"/>
    </row>
    <row r="29" spans="1:23" ht="13.9" x14ac:dyDescent="0.4">
      <c r="A29" s="8">
        <v>47284</v>
      </c>
      <c r="B29" s="8"/>
      <c r="C29" s="6"/>
      <c r="D29" s="6"/>
      <c r="E29" s="5"/>
      <c r="F29" s="45"/>
      <c r="G29" s="5">
        <f>'Series Detail'!AC31</f>
        <v>19862625</v>
      </c>
      <c r="H29" s="45"/>
      <c r="I29" s="5">
        <f>'Series Detail'!AD31</f>
        <v>0</v>
      </c>
      <c r="J29" s="45"/>
      <c r="K29" s="5">
        <f>'Series Detail'!AE31</f>
        <v>0</v>
      </c>
      <c r="L29" s="45"/>
      <c r="M29" s="5">
        <f t="shared" si="0"/>
        <v>19862625</v>
      </c>
      <c r="N29" s="5"/>
      <c r="O29" s="5"/>
      <c r="P29" s="5"/>
      <c r="Q29" s="5"/>
      <c r="R29" s="5"/>
      <c r="T29" s="5"/>
      <c r="U29" s="5"/>
      <c r="V29" s="5"/>
      <c r="W29" s="5"/>
    </row>
    <row r="30" spans="1:23" ht="13.9" x14ac:dyDescent="0.4">
      <c r="A30" s="8">
        <v>47467</v>
      </c>
      <c r="B30" s="8"/>
      <c r="C30" s="6"/>
      <c r="D30" s="6"/>
      <c r="E30" s="5"/>
      <c r="F30" s="45"/>
      <c r="G30" s="5">
        <f>'Series Detail'!AC32</f>
        <v>19862625</v>
      </c>
      <c r="H30" s="45"/>
      <c r="I30" s="5">
        <f>'Series Detail'!AD32</f>
        <v>0</v>
      </c>
      <c r="J30" s="45"/>
      <c r="K30" s="5">
        <f>'Series Detail'!AE32</f>
        <v>0</v>
      </c>
      <c r="L30" s="45"/>
      <c r="M30" s="5">
        <f t="shared" si="0"/>
        <v>19862625</v>
      </c>
      <c r="N30" s="4"/>
      <c r="O30" s="5"/>
      <c r="P30" s="5"/>
      <c r="Q30" s="5"/>
      <c r="R30" s="5"/>
      <c r="T30" s="5"/>
      <c r="U30" s="5"/>
      <c r="V30" s="5"/>
      <c r="W30" s="5"/>
    </row>
    <row r="31" spans="1:23" ht="13.9" x14ac:dyDescent="0.4">
      <c r="A31" s="8">
        <v>47649</v>
      </c>
      <c r="B31" s="8"/>
      <c r="C31" s="6"/>
      <c r="D31" s="6"/>
      <c r="E31" s="5"/>
      <c r="F31" s="45"/>
      <c r="G31" s="5">
        <f>'Series Detail'!AC33</f>
        <v>19862625</v>
      </c>
      <c r="H31" s="45"/>
      <c r="I31" s="5">
        <f>'Series Detail'!AD33</f>
        <v>0</v>
      </c>
      <c r="J31" s="45"/>
      <c r="K31" s="5">
        <f>'Series Detail'!AE33</f>
        <v>0</v>
      </c>
      <c r="L31" s="45"/>
      <c r="M31" s="5">
        <f t="shared" si="0"/>
        <v>19862625</v>
      </c>
      <c r="N31" s="5"/>
      <c r="O31" s="5"/>
      <c r="P31" s="5"/>
      <c r="Q31" s="5"/>
      <c r="R31" s="5"/>
      <c r="T31" s="5"/>
      <c r="U31" s="5"/>
      <c r="V31" s="5"/>
      <c r="W31" s="5"/>
    </row>
    <row r="32" spans="1:23" ht="13.9" x14ac:dyDescent="0.4">
      <c r="A32" s="8">
        <v>47832</v>
      </c>
      <c r="B32" s="8"/>
      <c r="C32" s="6"/>
      <c r="D32" s="6"/>
      <c r="E32" s="5"/>
      <c r="F32" s="45"/>
      <c r="G32" s="5">
        <f>'Series Detail'!AC34</f>
        <v>19862625</v>
      </c>
      <c r="H32" s="45"/>
      <c r="I32" s="5">
        <f>'Series Detail'!AD34</f>
        <v>0</v>
      </c>
      <c r="J32" s="45"/>
      <c r="K32" s="5">
        <f>'Series Detail'!AE34</f>
        <v>0</v>
      </c>
      <c r="L32" s="45"/>
      <c r="M32" s="5">
        <f t="shared" si="0"/>
        <v>19862625</v>
      </c>
      <c r="N32" s="4"/>
      <c r="O32" s="5"/>
      <c r="P32" s="5"/>
      <c r="Q32" s="5"/>
      <c r="R32" s="5"/>
      <c r="T32" s="5"/>
      <c r="U32" s="5"/>
      <c r="V32" s="5"/>
      <c r="W32" s="5"/>
    </row>
    <row r="33" spans="1:23" ht="13.9" x14ac:dyDescent="0.4">
      <c r="A33" s="8">
        <v>48014</v>
      </c>
      <c r="B33" s="8"/>
      <c r="C33" s="6"/>
      <c r="D33" s="6"/>
      <c r="E33" s="5"/>
      <c r="F33" s="45"/>
      <c r="G33" s="5">
        <f>'Series Detail'!AC35</f>
        <v>19862625</v>
      </c>
      <c r="H33" s="45"/>
      <c r="I33" s="5">
        <f>'Series Detail'!AD35</f>
        <v>0</v>
      </c>
      <c r="J33" s="45"/>
      <c r="K33" s="5">
        <f>'Series Detail'!AE35</f>
        <v>0</v>
      </c>
      <c r="L33" s="45"/>
      <c r="M33" s="5">
        <f t="shared" si="0"/>
        <v>19862625</v>
      </c>
      <c r="N33" s="5"/>
      <c r="O33" s="5"/>
      <c r="P33" s="5"/>
      <c r="Q33" s="5"/>
      <c r="R33" s="5"/>
      <c r="T33" s="5"/>
      <c r="U33" s="5"/>
      <c r="V33" s="5"/>
      <c r="W33" s="5"/>
    </row>
    <row r="34" spans="1:23" ht="13.9" x14ac:dyDescent="0.4">
      <c r="A34" s="8">
        <v>48197</v>
      </c>
      <c r="B34" s="8"/>
      <c r="C34" s="6"/>
      <c r="D34" s="6"/>
      <c r="E34" s="5"/>
      <c r="F34" s="45"/>
      <c r="G34" s="5">
        <f>'Series Detail'!AC36</f>
        <v>19862625</v>
      </c>
      <c r="H34" s="45"/>
      <c r="I34" s="5">
        <f>'Series Detail'!AD36</f>
        <v>0</v>
      </c>
      <c r="J34" s="45"/>
      <c r="K34" s="5">
        <f>'Series Detail'!AE36</f>
        <v>0</v>
      </c>
      <c r="L34" s="45"/>
      <c r="M34" s="5">
        <f t="shared" si="0"/>
        <v>19862625</v>
      </c>
      <c r="N34" s="4"/>
      <c r="O34" s="5"/>
      <c r="P34" s="5"/>
      <c r="Q34" s="5"/>
      <c r="R34" s="5"/>
      <c r="T34" s="5"/>
      <c r="U34" s="5"/>
      <c r="V34" s="5"/>
      <c r="W34" s="5"/>
    </row>
    <row r="35" spans="1:23" ht="13.9" x14ac:dyDescent="0.4">
      <c r="A35" s="8">
        <v>48380</v>
      </c>
      <c r="B35" s="8"/>
      <c r="C35" s="6"/>
      <c r="D35" s="6"/>
      <c r="E35" s="5"/>
      <c r="F35" s="45"/>
      <c r="G35" s="5">
        <f>'Series Detail'!AC37</f>
        <v>19862625</v>
      </c>
      <c r="H35" s="45"/>
      <c r="I35" s="5">
        <f>'Series Detail'!AD37</f>
        <v>0</v>
      </c>
      <c r="J35" s="45"/>
      <c r="K35" s="5">
        <f>'Series Detail'!AE37</f>
        <v>0</v>
      </c>
      <c r="L35" s="45"/>
      <c r="M35" s="5">
        <f t="shared" si="0"/>
        <v>19862625</v>
      </c>
      <c r="N35" s="5"/>
      <c r="O35" s="5"/>
      <c r="P35" s="5"/>
      <c r="Q35" s="5"/>
      <c r="R35" s="5"/>
      <c r="T35" s="5"/>
      <c r="U35" s="5"/>
      <c r="V35" s="5"/>
      <c r="W35" s="5"/>
    </row>
    <row r="36" spans="1:23" ht="13.9" x14ac:dyDescent="0.4">
      <c r="A36" s="8">
        <v>48563</v>
      </c>
      <c r="B36" s="8"/>
      <c r="C36" s="6"/>
      <c r="D36" s="6"/>
      <c r="E36" s="5"/>
      <c r="F36" s="45"/>
      <c r="G36" s="5">
        <f>'Series Detail'!AC38</f>
        <v>19862625</v>
      </c>
      <c r="H36" s="45"/>
      <c r="I36" s="5">
        <f>'Series Detail'!AD38</f>
        <v>0</v>
      </c>
      <c r="J36" s="45"/>
      <c r="K36" s="5">
        <f>'Series Detail'!AE38</f>
        <v>0</v>
      </c>
      <c r="L36" s="45"/>
      <c r="M36" s="5">
        <f t="shared" si="0"/>
        <v>19862625</v>
      </c>
      <c r="N36" s="4"/>
      <c r="O36" s="5"/>
      <c r="P36" s="5"/>
      <c r="Q36" s="5"/>
      <c r="R36" s="5"/>
      <c r="T36" s="5"/>
      <c r="U36" s="5"/>
      <c r="V36" s="5"/>
      <c r="W36" s="5"/>
    </row>
    <row r="37" spans="1:23" ht="13.9" x14ac:dyDescent="0.4">
      <c r="A37" s="8">
        <v>48745</v>
      </c>
      <c r="B37" s="8"/>
      <c r="C37" s="6"/>
      <c r="D37" s="6"/>
      <c r="E37" s="5"/>
      <c r="F37" s="45"/>
      <c r="G37" s="5">
        <f>'Series Detail'!AC39</f>
        <v>19862625</v>
      </c>
      <c r="H37" s="45"/>
      <c r="I37" s="5">
        <f>'Series Detail'!AD39</f>
        <v>0</v>
      </c>
      <c r="J37" s="45"/>
      <c r="K37" s="5">
        <f>'Series Detail'!AE39</f>
        <v>0</v>
      </c>
      <c r="L37" s="45"/>
      <c r="M37" s="5">
        <f t="shared" si="0"/>
        <v>19862625</v>
      </c>
      <c r="N37" s="5"/>
      <c r="O37" s="5"/>
      <c r="P37" s="5"/>
      <c r="Q37" s="5"/>
      <c r="R37" s="5"/>
      <c r="T37" s="5"/>
      <c r="U37" s="5"/>
      <c r="V37" s="5"/>
      <c r="W37" s="5"/>
    </row>
    <row r="38" spans="1:23" ht="13.9" x14ac:dyDescent="0.4">
      <c r="A38" s="8">
        <v>48928</v>
      </c>
      <c r="B38" s="8"/>
      <c r="C38" s="6"/>
      <c r="D38" s="6"/>
      <c r="E38" s="5"/>
      <c r="F38" s="45"/>
      <c r="G38" s="5">
        <f>'Series Detail'!AC40</f>
        <v>19862625</v>
      </c>
      <c r="H38" s="45"/>
      <c r="I38" s="5">
        <f>'Series Detail'!AD40</f>
        <v>0</v>
      </c>
      <c r="J38" s="45"/>
      <c r="K38" s="5">
        <f>'Series Detail'!AE40</f>
        <v>0</v>
      </c>
      <c r="L38" s="45"/>
      <c r="M38" s="5">
        <f t="shared" si="0"/>
        <v>19862625</v>
      </c>
      <c r="N38" s="4"/>
      <c r="O38" s="5"/>
      <c r="P38" s="5"/>
      <c r="Q38" s="5"/>
      <c r="R38" s="5"/>
      <c r="T38" s="5"/>
      <c r="U38" s="5"/>
      <c r="V38" s="5"/>
      <c r="W38" s="5"/>
    </row>
    <row r="39" spans="1:23" ht="13.9" x14ac:dyDescent="0.4">
      <c r="A39" s="8">
        <v>49110</v>
      </c>
      <c r="B39" s="8"/>
      <c r="C39" s="6"/>
      <c r="D39" s="6"/>
      <c r="E39" s="5"/>
      <c r="F39" s="45"/>
      <c r="G39" s="5">
        <f>'Series Detail'!AC41</f>
        <v>19862625</v>
      </c>
      <c r="H39" s="45"/>
      <c r="I39" s="5">
        <f>'Series Detail'!AD41</f>
        <v>0</v>
      </c>
      <c r="J39" s="45"/>
      <c r="K39" s="5">
        <f>'Series Detail'!AE41</f>
        <v>0</v>
      </c>
      <c r="L39" s="45"/>
      <c r="M39" s="5">
        <f t="shared" si="0"/>
        <v>19862625</v>
      </c>
      <c r="N39" s="5"/>
      <c r="O39" s="5"/>
      <c r="P39" s="5"/>
      <c r="Q39" s="5"/>
      <c r="R39" s="5"/>
      <c r="T39" s="5"/>
      <c r="U39" s="5"/>
      <c r="V39" s="5"/>
      <c r="W39" s="5"/>
    </row>
    <row r="40" spans="1:23" ht="13.9" x14ac:dyDescent="0.4">
      <c r="A40" s="8">
        <v>49293</v>
      </c>
      <c r="B40" s="8"/>
      <c r="C40" s="6"/>
      <c r="D40" s="6"/>
      <c r="E40" s="5"/>
      <c r="F40" s="45"/>
      <c r="G40" s="5">
        <f>'Series Detail'!AC42</f>
        <v>19862625</v>
      </c>
      <c r="H40" s="45"/>
      <c r="I40" s="5">
        <f>'Series Detail'!AD42</f>
        <v>0</v>
      </c>
      <c r="J40" s="45"/>
      <c r="K40" s="5">
        <f>'Series Detail'!AE42</f>
        <v>0</v>
      </c>
      <c r="L40" s="45"/>
      <c r="M40" s="5">
        <f t="shared" si="0"/>
        <v>19862625</v>
      </c>
      <c r="N40" s="4"/>
      <c r="O40" s="5"/>
      <c r="P40" s="5"/>
      <c r="Q40" s="5"/>
      <c r="R40" s="5"/>
      <c r="T40" s="5"/>
      <c r="U40" s="5"/>
      <c r="V40" s="5"/>
      <c r="W40" s="5"/>
    </row>
    <row r="41" spans="1:23" ht="13.9" x14ac:dyDescent="0.4">
      <c r="A41" s="8">
        <v>49475</v>
      </c>
      <c r="B41" s="8"/>
      <c r="C41" s="6"/>
      <c r="D41" s="6"/>
      <c r="E41" s="5"/>
      <c r="F41" s="45"/>
      <c r="G41" s="5">
        <f>'Series Detail'!AC43</f>
        <v>19862625</v>
      </c>
      <c r="H41" s="45"/>
      <c r="I41" s="5">
        <f>'Series Detail'!AD43</f>
        <v>0</v>
      </c>
      <c r="J41" s="45"/>
      <c r="K41" s="5">
        <f>'Series Detail'!AE43</f>
        <v>0</v>
      </c>
      <c r="L41" s="45"/>
      <c r="M41" s="5">
        <f t="shared" si="0"/>
        <v>19862625</v>
      </c>
      <c r="N41" s="5"/>
      <c r="O41" s="5"/>
      <c r="P41" s="5"/>
      <c r="Q41" s="5"/>
      <c r="R41" s="5"/>
      <c r="T41" s="5"/>
      <c r="U41" s="5"/>
      <c r="V41" s="5"/>
      <c r="W41" s="5"/>
    </row>
    <row r="42" spans="1:23" ht="13.9" x14ac:dyDescent="0.4">
      <c r="A42" s="8">
        <v>49658</v>
      </c>
      <c r="B42" s="8"/>
      <c r="C42" s="6"/>
      <c r="D42" s="6"/>
      <c r="E42" s="5"/>
      <c r="F42" s="45"/>
      <c r="G42" s="5">
        <f>'Series Detail'!AC44</f>
        <v>19862625</v>
      </c>
      <c r="H42" s="45"/>
      <c r="I42" s="5">
        <f>'Series Detail'!AD44</f>
        <v>0</v>
      </c>
      <c r="J42" s="45"/>
      <c r="K42" s="5">
        <f>'Series Detail'!AE44</f>
        <v>0</v>
      </c>
      <c r="L42" s="45"/>
      <c r="M42" s="5">
        <f t="shared" si="0"/>
        <v>19862625</v>
      </c>
      <c r="N42" s="4"/>
      <c r="O42" s="5"/>
      <c r="P42" s="5"/>
      <c r="Q42" s="5"/>
      <c r="R42" s="5"/>
      <c r="T42" s="5"/>
      <c r="U42" s="5"/>
      <c r="V42" s="5"/>
      <c r="W42" s="5"/>
    </row>
    <row r="43" spans="1:23" ht="13.9" x14ac:dyDescent="0.4">
      <c r="A43" s="8">
        <v>49841</v>
      </c>
      <c r="B43" s="8"/>
      <c r="C43" s="6"/>
      <c r="D43" s="6"/>
      <c r="E43" s="5"/>
      <c r="F43" s="45"/>
      <c r="G43" s="5">
        <f>'Series Detail'!AC45</f>
        <v>19862625</v>
      </c>
      <c r="H43" s="45"/>
      <c r="I43" s="5">
        <f>'Series Detail'!AD45</f>
        <v>0</v>
      </c>
      <c r="J43" s="45"/>
      <c r="K43" s="5">
        <f>'Series Detail'!AE45</f>
        <v>0</v>
      </c>
      <c r="L43" s="45"/>
      <c r="M43" s="5">
        <f t="shared" si="0"/>
        <v>19862625</v>
      </c>
      <c r="N43" s="5"/>
      <c r="O43" s="5"/>
      <c r="P43" s="5"/>
      <c r="Q43" s="5"/>
      <c r="R43" s="5"/>
      <c r="T43" s="5"/>
      <c r="U43" s="5"/>
      <c r="V43" s="5"/>
      <c r="W43" s="5"/>
    </row>
    <row r="44" spans="1:23" ht="13.9" x14ac:dyDescent="0.4">
      <c r="A44" s="8">
        <v>50024</v>
      </c>
      <c r="B44" s="8"/>
      <c r="C44" s="6"/>
      <c r="D44" s="6"/>
      <c r="E44" s="5"/>
      <c r="F44" s="45"/>
      <c r="G44" s="5">
        <f>'Series Detail'!AC46</f>
        <v>19862625</v>
      </c>
      <c r="H44" s="45"/>
      <c r="I44" s="5">
        <f>'Series Detail'!AD46</f>
        <v>0</v>
      </c>
      <c r="J44" s="45"/>
      <c r="K44" s="5">
        <f>'Series Detail'!AE46</f>
        <v>0</v>
      </c>
      <c r="L44" s="45"/>
      <c r="M44" s="5">
        <f t="shared" si="0"/>
        <v>19862625</v>
      </c>
      <c r="N44" s="4"/>
      <c r="O44" s="5"/>
      <c r="P44" s="5"/>
      <c r="Q44" s="5"/>
      <c r="R44" s="5"/>
      <c r="T44" s="5"/>
      <c r="U44" s="5"/>
      <c r="V44" s="5"/>
      <c r="W44" s="5"/>
    </row>
    <row r="45" spans="1:23" ht="13.9" x14ac:dyDescent="0.4">
      <c r="A45" s="8">
        <v>50206</v>
      </c>
      <c r="B45" s="8"/>
      <c r="C45" s="6"/>
      <c r="D45" s="6"/>
      <c r="E45" s="5"/>
      <c r="F45" s="45"/>
      <c r="G45" s="5">
        <f>'Series Detail'!AC47</f>
        <v>19862625</v>
      </c>
      <c r="H45" s="45"/>
      <c r="I45" s="5">
        <f>'Series Detail'!AD47</f>
        <v>0</v>
      </c>
      <c r="J45" s="45"/>
      <c r="K45" s="5">
        <f>'Series Detail'!AE47</f>
        <v>0</v>
      </c>
      <c r="L45" s="45"/>
      <c r="M45" s="5">
        <f t="shared" si="0"/>
        <v>19862625</v>
      </c>
      <c r="N45" s="5"/>
      <c r="O45" s="5"/>
      <c r="P45" s="5"/>
      <c r="Q45" s="5"/>
      <c r="R45" s="5"/>
      <c r="T45" s="5"/>
      <c r="U45" s="5"/>
      <c r="V45" s="5"/>
      <c r="W45" s="5"/>
    </row>
    <row r="46" spans="1:23" ht="13.9" x14ac:dyDescent="0.4">
      <c r="A46" s="8">
        <v>50389</v>
      </c>
      <c r="B46" s="8"/>
      <c r="C46" s="6"/>
      <c r="D46" s="6"/>
      <c r="E46" s="5"/>
      <c r="F46" s="45"/>
      <c r="G46" s="5">
        <f>'Series Detail'!AC48</f>
        <v>19862625</v>
      </c>
      <c r="H46" s="45"/>
      <c r="I46" s="5">
        <f>'Series Detail'!AD48</f>
        <v>0</v>
      </c>
      <c r="J46" s="45"/>
      <c r="K46" s="5">
        <f>'Series Detail'!AE48</f>
        <v>0</v>
      </c>
      <c r="L46" s="45"/>
      <c r="M46" s="5">
        <f t="shared" si="0"/>
        <v>19862625</v>
      </c>
      <c r="N46" s="4"/>
      <c r="O46" s="5"/>
      <c r="P46" s="5"/>
      <c r="Q46" s="5"/>
      <c r="R46" s="5"/>
      <c r="T46" s="5"/>
      <c r="U46" s="5"/>
      <c r="V46" s="5"/>
      <c r="W46" s="5"/>
    </row>
    <row r="47" spans="1:23" ht="13.9" x14ac:dyDescent="0.4">
      <c r="A47" s="8">
        <v>50571</v>
      </c>
      <c r="B47" s="8"/>
      <c r="C47" s="6"/>
      <c r="D47" s="6"/>
      <c r="E47" s="5"/>
      <c r="F47" s="45"/>
      <c r="G47" s="5">
        <f>'Series Detail'!AC49</f>
        <v>19862625</v>
      </c>
      <c r="H47" s="45"/>
      <c r="I47" s="5">
        <f>'Series Detail'!AD49</f>
        <v>0</v>
      </c>
      <c r="J47" s="45"/>
      <c r="K47" s="5">
        <f>'Series Detail'!AE49</f>
        <v>0</v>
      </c>
      <c r="L47" s="45"/>
      <c r="M47" s="5">
        <f t="shared" si="0"/>
        <v>19862625</v>
      </c>
      <c r="N47" s="5"/>
      <c r="O47" s="5"/>
      <c r="P47" s="5"/>
      <c r="Q47" s="5"/>
      <c r="R47" s="5"/>
      <c r="T47" s="5"/>
      <c r="U47" s="5"/>
      <c r="V47" s="5"/>
      <c r="W47" s="5"/>
    </row>
    <row r="48" spans="1:23" ht="13.9" x14ac:dyDescent="0.4">
      <c r="A48" s="8">
        <v>50754</v>
      </c>
      <c r="B48" s="8"/>
      <c r="C48" s="6"/>
      <c r="D48" s="6"/>
      <c r="E48" s="5"/>
      <c r="F48" s="45"/>
      <c r="G48" s="5">
        <f>'Series Detail'!AC50</f>
        <v>19862625</v>
      </c>
      <c r="H48" s="45"/>
      <c r="I48" s="5">
        <f>'Series Detail'!AD50</f>
        <v>0</v>
      </c>
      <c r="J48" s="45"/>
      <c r="K48" s="5">
        <f>'Series Detail'!AE50</f>
        <v>0</v>
      </c>
      <c r="L48" s="45"/>
      <c r="M48" s="5">
        <f t="shared" si="0"/>
        <v>19862625</v>
      </c>
      <c r="N48" s="4"/>
      <c r="O48" s="5"/>
      <c r="P48" s="5"/>
      <c r="Q48" s="5"/>
      <c r="R48" s="5"/>
      <c r="T48" s="5"/>
      <c r="U48" s="5"/>
      <c r="V48" s="5"/>
      <c r="W48" s="5"/>
    </row>
    <row r="49" spans="1:23" ht="13.9" x14ac:dyDescent="0.4">
      <c r="A49" s="8">
        <v>50936</v>
      </c>
      <c r="B49" s="8"/>
      <c r="C49" s="6"/>
      <c r="D49" s="6"/>
      <c r="E49" s="5"/>
      <c r="F49" s="45"/>
      <c r="G49" s="5">
        <f>'Series Detail'!AC51</f>
        <v>19862625</v>
      </c>
      <c r="H49" s="45"/>
      <c r="I49" s="5">
        <f>'Series Detail'!AD51</f>
        <v>0</v>
      </c>
      <c r="J49" s="45"/>
      <c r="K49" s="5">
        <f>'Series Detail'!AE51</f>
        <v>0</v>
      </c>
      <c r="L49" s="45"/>
      <c r="M49" s="5">
        <f t="shared" si="0"/>
        <v>19862625</v>
      </c>
      <c r="N49" s="5"/>
      <c r="O49" s="5"/>
      <c r="P49" s="5"/>
      <c r="Q49" s="5"/>
      <c r="R49" s="5"/>
      <c r="T49" s="5"/>
      <c r="U49" s="5"/>
      <c r="V49" s="5"/>
      <c r="W49" s="5"/>
    </row>
    <row r="50" spans="1:23" ht="13.9" x14ac:dyDescent="0.4">
      <c r="A50" s="8">
        <v>51119</v>
      </c>
      <c r="B50" s="8"/>
      <c r="C50" s="6"/>
      <c r="D50" s="6"/>
      <c r="E50" s="5"/>
      <c r="F50" s="45"/>
      <c r="G50" s="5">
        <f>'Series Detail'!AC52</f>
        <v>19862625</v>
      </c>
      <c r="H50" s="45"/>
      <c r="I50" s="5">
        <f>'Series Detail'!AD52</f>
        <v>0</v>
      </c>
      <c r="J50" s="45"/>
      <c r="K50" s="5">
        <f>'Series Detail'!AE52</f>
        <v>0</v>
      </c>
      <c r="L50" s="45"/>
      <c r="M50" s="5">
        <f t="shared" si="0"/>
        <v>19862625</v>
      </c>
      <c r="N50" s="4"/>
      <c r="O50" s="5"/>
      <c r="P50" s="5"/>
      <c r="Q50" s="5"/>
      <c r="R50" s="5"/>
      <c r="T50" s="5"/>
      <c r="U50" s="5"/>
      <c r="V50" s="5"/>
      <c r="W50" s="5"/>
    </row>
    <row r="51" spans="1:23" ht="13.9" x14ac:dyDescent="0.4">
      <c r="A51" s="8">
        <f>EDATE(A50,6)</f>
        <v>51302</v>
      </c>
      <c r="B51" s="8"/>
      <c r="C51" s="6"/>
      <c r="D51" s="6"/>
      <c r="E51" s="5"/>
      <c r="F51" s="45"/>
      <c r="G51" s="5">
        <f>'Series Detail'!AC53</f>
        <v>19862625</v>
      </c>
      <c r="H51" s="45"/>
      <c r="I51" s="5">
        <f>'Series Detail'!AD53</f>
        <v>0</v>
      </c>
      <c r="J51" s="45"/>
      <c r="K51" s="5">
        <f>'Series Detail'!AE53</f>
        <v>0</v>
      </c>
      <c r="L51" s="45"/>
      <c r="M51" s="5">
        <f t="shared" si="0"/>
        <v>19862625</v>
      </c>
      <c r="N51" s="4"/>
      <c r="O51" s="5"/>
      <c r="P51" s="5"/>
      <c r="Q51" s="5"/>
      <c r="R51" s="5"/>
      <c r="T51" s="5"/>
      <c r="U51" s="5"/>
      <c r="V51" s="5"/>
      <c r="W51" s="5"/>
    </row>
    <row r="52" spans="1:23" ht="13.9" x14ac:dyDescent="0.4">
      <c r="A52" s="8">
        <f t="shared" ref="A52:A71" si="1">EDATE(A51,6)</f>
        <v>51485</v>
      </c>
      <c r="B52" s="8"/>
      <c r="C52" s="6"/>
      <c r="D52" s="6"/>
      <c r="E52" s="5"/>
      <c r="F52" s="45"/>
      <c r="G52" s="5">
        <f>'Series Detail'!AC54</f>
        <v>19862625</v>
      </c>
      <c r="H52" s="45"/>
      <c r="I52" s="5">
        <f>'Series Detail'!AD54</f>
        <v>0</v>
      </c>
      <c r="J52" s="45"/>
      <c r="K52" s="5">
        <f>'Series Detail'!AE54</f>
        <v>0</v>
      </c>
      <c r="L52" s="45"/>
      <c r="M52" s="5">
        <f t="shared" si="0"/>
        <v>19862625</v>
      </c>
      <c r="N52" s="4"/>
      <c r="O52" s="5"/>
      <c r="P52" s="5"/>
      <c r="Q52" s="5"/>
      <c r="R52" s="5"/>
      <c r="T52" s="5"/>
      <c r="U52" s="5"/>
      <c r="V52" s="5"/>
      <c r="W52" s="5"/>
    </row>
    <row r="53" spans="1:23" ht="13.9" x14ac:dyDescent="0.4">
      <c r="A53" s="8">
        <f t="shared" si="1"/>
        <v>51667</v>
      </c>
      <c r="B53" s="8"/>
      <c r="C53" s="6"/>
      <c r="D53" s="6"/>
      <c r="E53" s="5"/>
      <c r="F53" s="45"/>
      <c r="G53" s="5">
        <f>'Series Detail'!AC55</f>
        <v>19862625</v>
      </c>
      <c r="H53" s="45"/>
      <c r="I53" s="5">
        <f>'Series Detail'!AD55</f>
        <v>0</v>
      </c>
      <c r="J53" s="45"/>
      <c r="K53" s="5">
        <f>'Series Detail'!AE55</f>
        <v>0</v>
      </c>
      <c r="L53" s="45"/>
      <c r="M53" s="5">
        <f t="shared" si="0"/>
        <v>19862625</v>
      </c>
      <c r="N53" s="4"/>
      <c r="O53" s="5"/>
      <c r="P53" s="5"/>
      <c r="Q53" s="5"/>
      <c r="R53" s="5"/>
      <c r="T53" s="5"/>
      <c r="U53" s="5"/>
      <c r="V53" s="5"/>
      <c r="W53" s="5"/>
    </row>
    <row r="54" spans="1:23" ht="13.9" x14ac:dyDescent="0.4">
      <c r="A54" s="8">
        <f t="shared" si="1"/>
        <v>51850</v>
      </c>
      <c r="B54" s="8"/>
      <c r="C54" s="6"/>
      <c r="D54" s="6"/>
      <c r="E54" s="5"/>
      <c r="F54" s="45"/>
      <c r="G54" s="5">
        <f>'Series Detail'!AC56</f>
        <v>19862625</v>
      </c>
      <c r="H54" s="45"/>
      <c r="I54" s="5">
        <f>'Series Detail'!AD56</f>
        <v>0</v>
      </c>
      <c r="J54" s="45"/>
      <c r="K54" s="5">
        <f>'Series Detail'!AE56</f>
        <v>0</v>
      </c>
      <c r="L54" s="45"/>
      <c r="M54" s="5">
        <f t="shared" si="0"/>
        <v>19862625</v>
      </c>
      <c r="N54" s="4"/>
      <c r="O54" s="5"/>
      <c r="P54" s="5"/>
      <c r="Q54" s="5"/>
      <c r="R54" s="5"/>
      <c r="T54" s="5"/>
      <c r="U54" s="5"/>
      <c r="V54" s="5"/>
      <c r="W54" s="5"/>
    </row>
    <row r="55" spans="1:23" ht="13.9" x14ac:dyDescent="0.4">
      <c r="A55" s="8">
        <f t="shared" si="1"/>
        <v>52032</v>
      </c>
      <c r="B55" s="8"/>
      <c r="C55" s="6"/>
      <c r="D55" s="6"/>
      <c r="E55" s="5"/>
      <c r="F55" s="45"/>
      <c r="G55" s="5">
        <f>'Series Detail'!AC57</f>
        <v>19862625</v>
      </c>
      <c r="H55" s="45"/>
      <c r="I55" s="5">
        <f>'Series Detail'!AD57</f>
        <v>0</v>
      </c>
      <c r="J55" s="45"/>
      <c r="K55" s="5">
        <f>'Series Detail'!AE57</f>
        <v>0</v>
      </c>
      <c r="L55" s="45"/>
      <c r="M55" s="5">
        <f t="shared" si="0"/>
        <v>19862625</v>
      </c>
      <c r="N55" s="4"/>
      <c r="O55" s="5"/>
      <c r="P55" s="5"/>
      <c r="Q55" s="5"/>
      <c r="R55" s="5"/>
      <c r="T55" s="5"/>
      <c r="U55" s="5"/>
      <c r="V55" s="5"/>
      <c r="W55" s="5"/>
    </row>
    <row r="56" spans="1:23" ht="13.9" x14ac:dyDescent="0.4">
      <c r="A56" s="8">
        <f t="shared" si="1"/>
        <v>52215</v>
      </c>
      <c r="B56" s="8"/>
      <c r="C56" s="6">
        <v>0.05</v>
      </c>
      <c r="D56" s="6"/>
      <c r="E56" s="5">
        <f>'Series Detail'!Y58+'Series Detail'!AA58</f>
        <v>1595000</v>
      </c>
      <c r="F56" s="45"/>
      <c r="G56" s="5">
        <f>'Series Detail'!AC58</f>
        <v>19862625</v>
      </c>
      <c r="H56" s="45"/>
      <c r="I56" s="5">
        <f>'Series Detail'!AD58</f>
        <v>0</v>
      </c>
      <c r="J56" s="45"/>
      <c r="K56" s="5">
        <f>'Series Detail'!AE58</f>
        <v>0</v>
      </c>
      <c r="L56" s="45"/>
      <c r="M56" s="5">
        <f t="shared" si="0"/>
        <v>21457625</v>
      </c>
      <c r="N56" s="4"/>
      <c r="O56" s="5"/>
      <c r="P56" s="5"/>
      <c r="Q56" s="5"/>
      <c r="R56" s="5"/>
      <c r="T56" s="5"/>
      <c r="U56" s="5"/>
      <c r="V56" s="5"/>
      <c r="W56" s="5"/>
    </row>
    <row r="57" spans="1:23" ht="13.9" x14ac:dyDescent="0.4">
      <c r="A57" s="8">
        <f t="shared" si="1"/>
        <v>52397</v>
      </c>
      <c r="B57" s="8"/>
      <c r="C57" s="6"/>
      <c r="D57" s="6"/>
      <c r="E57" s="5"/>
      <c r="F57" s="45"/>
      <c r="G57" s="5">
        <f>'Series Detail'!AC59</f>
        <v>19822750</v>
      </c>
      <c r="H57" s="45"/>
      <c r="I57" s="5">
        <f>'Series Detail'!AD59</f>
        <v>0</v>
      </c>
      <c r="J57" s="45"/>
      <c r="K57" s="5">
        <f>'Series Detail'!AE59</f>
        <v>0</v>
      </c>
      <c r="L57" s="45"/>
      <c r="M57" s="5">
        <f t="shared" si="0"/>
        <v>19822750</v>
      </c>
      <c r="N57" s="4"/>
      <c r="O57" s="5"/>
      <c r="P57" s="5"/>
      <c r="Q57" s="5"/>
      <c r="R57" s="5"/>
      <c r="T57" s="5"/>
      <c r="U57" s="5"/>
      <c r="V57" s="5"/>
      <c r="W57" s="5"/>
    </row>
    <row r="58" spans="1:23" ht="13.9" x14ac:dyDescent="0.4">
      <c r="A58" s="8">
        <f t="shared" si="1"/>
        <v>52580</v>
      </c>
      <c r="B58" s="8"/>
      <c r="C58" s="6">
        <v>0.05</v>
      </c>
      <c r="D58" s="6"/>
      <c r="E58" s="5">
        <f>'Series Detail'!Y60+'Series Detail'!AA60</f>
        <v>1675000</v>
      </c>
      <c r="F58" s="45"/>
      <c r="G58" s="5">
        <f>'Series Detail'!AC60</f>
        <v>19822750</v>
      </c>
      <c r="H58" s="45"/>
      <c r="I58" s="5">
        <f>'Series Detail'!AD60</f>
        <v>0</v>
      </c>
      <c r="J58" s="45"/>
      <c r="K58" s="5">
        <f>'Series Detail'!AE60</f>
        <v>0</v>
      </c>
      <c r="L58" s="45"/>
      <c r="M58" s="5">
        <f t="shared" si="0"/>
        <v>21497750</v>
      </c>
      <c r="N58" s="4"/>
      <c r="O58" s="5"/>
      <c r="P58" s="5"/>
      <c r="Q58" s="5"/>
      <c r="R58" s="5"/>
      <c r="T58" s="5"/>
      <c r="U58" s="5"/>
      <c r="V58" s="5"/>
      <c r="W58" s="5"/>
    </row>
    <row r="59" spans="1:23" ht="13.9" x14ac:dyDescent="0.4">
      <c r="A59" s="8">
        <f t="shared" si="1"/>
        <v>52763</v>
      </c>
      <c r="B59" s="8"/>
      <c r="C59" s="6"/>
      <c r="D59" s="6"/>
      <c r="E59" s="5"/>
      <c r="F59" s="45"/>
      <c r="G59" s="5">
        <f>'Series Detail'!AC61</f>
        <v>19780875</v>
      </c>
      <c r="H59" s="45"/>
      <c r="I59" s="5">
        <f>'Series Detail'!AD61</f>
        <v>0</v>
      </c>
      <c r="J59" s="45"/>
      <c r="K59" s="5">
        <f>'Series Detail'!AE61</f>
        <v>0</v>
      </c>
      <c r="L59" s="45"/>
      <c r="M59" s="5">
        <f t="shared" si="0"/>
        <v>19780875</v>
      </c>
      <c r="N59" s="4"/>
      <c r="O59" s="5"/>
      <c r="P59" s="5"/>
      <c r="Q59" s="5"/>
      <c r="R59" s="5"/>
      <c r="T59" s="5"/>
      <c r="U59" s="5"/>
      <c r="V59" s="5"/>
      <c r="W59" s="5"/>
    </row>
    <row r="60" spans="1:23" ht="13.9" x14ac:dyDescent="0.4">
      <c r="A60" s="8">
        <f t="shared" si="1"/>
        <v>52946</v>
      </c>
      <c r="B60" s="8"/>
      <c r="C60" s="6">
        <v>0.05</v>
      </c>
      <c r="D60" s="6"/>
      <c r="E60" s="5">
        <f>'Series Detail'!Y62+'Series Detail'!AA62</f>
        <v>1760000</v>
      </c>
      <c r="F60" s="45"/>
      <c r="G60" s="5">
        <f>'Series Detail'!AC62</f>
        <v>19780875</v>
      </c>
      <c r="H60" s="45"/>
      <c r="I60" s="5">
        <f>'Series Detail'!AD62</f>
        <v>0</v>
      </c>
      <c r="J60" s="45"/>
      <c r="K60" s="5">
        <f>'Series Detail'!AE62</f>
        <v>0</v>
      </c>
      <c r="L60" s="45"/>
      <c r="M60" s="5">
        <f t="shared" si="0"/>
        <v>21540875</v>
      </c>
      <c r="N60" s="4"/>
      <c r="O60" s="5"/>
      <c r="P60" s="5"/>
      <c r="Q60" s="5"/>
      <c r="R60" s="5"/>
      <c r="T60" s="5"/>
      <c r="U60" s="5"/>
      <c r="V60" s="5"/>
      <c r="W60" s="5"/>
    </row>
    <row r="61" spans="1:23" ht="13.9" x14ac:dyDescent="0.4">
      <c r="A61" s="8">
        <f t="shared" si="1"/>
        <v>53128</v>
      </c>
      <c r="B61" s="8"/>
      <c r="C61" s="6"/>
      <c r="D61" s="6"/>
      <c r="E61" s="5"/>
      <c r="F61" s="45"/>
      <c r="G61" s="5">
        <f>'Series Detail'!AC63</f>
        <v>19736875</v>
      </c>
      <c r="H61" s="45"/>
      <c r="I61" s="5">
        <f>'Series Detail'!AD63</f>
        <v>0</v>
      </c>
      <c r="J61" s="45"/>
      <c r="K61" s="5">
        <f>'Series Detail'!AE63</f>
        <v>0</v>
      </c>
      <c r="L61" s="45"/>
      <c r="M61" s="5">
        <f t="shared" si="0"/>
        <v>19736875</v>
      </c>
      <c r="N61" s="4"/>
      <c r="O61" s="5"/>
      <c r="P61" s="5"/>
      <c r="Q61" s="5"/>
      <c r="R61" s="5"/>
      <c r="T61" s="5"/>
      <c r="U61" s="5"/>
      <c r="V61" s="5"/>
      <c r="W61" s="5"/>
    </row>
    <row r="62" spans="1:23" ht="13.9" x14ac:dyDescent="0.4">
      <c r="A62" s="8">
        <f t="shared" si="1"/>
        <v>53311</v>
      </c>
      <c r="B62" s="8"/>
      <c r="C62" s="6">
        <v>0.05</v>
      </c>
      <c r="D62" s="6"/>
      <c r="E62" s="5">
        <f>'Series Detail'!Y64+'Series Detail'!AA64</f>
        <v>1850000</v>
      </c>
      <c r="F62" s="45"/>
      <c r="G62" s="5">
        <f>'Series Detail'!AC64</f>
        <v>19736875</v>
      </c>
      <c r="H62" s="45"/>
      <c r="I62" s="5">
        <f>'Series Detail'!AD64</f>
        <v>0</v>
      </c>
      <c r="J62" s="45"/>
      <c r="K62" s="5">
        <f>'Series Detail'!AE64</f>
        <v>0</v>
      </c>
      <c r="L62" s="45"/>
      <c r="M62" s="5">
        <f t="shared" si="0"/>
        <v>21586875</v>
      </c>
      <c r="N62" s="4"/>
      <c r="O62" s="5"/>
      <c r="P62" s="5"/>
      <c r="Q62" s="5"/>
      <c r="R62" s="5"/>
      <c r="T62" s="5"/>
      <c r="U62" s="5"/>
      <c r="V62" s="5"/>
      <c r="W62" s="5"/>
    </row>
    <row r="63" spans="1:23" ht="13.9" x14ac:dyDescent="0.4">
      <c r="A63" s="8">
        <f t="shared" si="1"/>
        <v>53493</v>
      </c>
      <c r="B63" s="8"/>
      <c r="C63" s="6"/>
      <c r="D63" s="6"/>
      <c r="E63" s="5"/>
      <c r="F63" s="45"/>
      <c r="G63" s="5">
        <f>'Series Detail'!AC65</f>
        <v>19690625</v>
      </c>
      <c r="H63" s="45"/>
      <c r="I63" s="5">
        <f>'Series Detail'!AD65</f>
        <v>0</v>
      </c>
      <c r="J63" s="45"/>
      <c r="K63" s="5">
        <f>'Series Detail'!AE65</f>
        <v>0</v>
      </c>
      <c r="L63" s="45"/>
      <c r="M63" s="5">
        <f t="shared" si="0"/>
        <v>19690625</v>
      </c>
      <c r="N63" s="4"/>
      <c r="O63" s="5"/>
      <c r="P63" s="5"/>
      <c r="Q63" s="5"/>
      <c r="R63" s="5"/>
      <c r="T63" s="5"/>
      <c r="U63" s="5"/>
      <c r="V63" s="5"/>
      <c r="W63" s="5"/>
    </row>
    <row r="64" spans="1:23" ht="13.9" x14ac:dyDescent="0.4">
      <c r="A64" s="8">
        <f t="shared" si="1"/>
        <v>53676</v>
      </c>
      <c r="B64" s="8"/>
      <c r="C64" s="6">
        <v>0.05</v>
      </c>
      <c r="D64" s="6"/>
      <c r="E64" s="5">
        <f>'Series Detail'!Y66+'Series Detail'!AA66</f>
        <v>57195000</v>
      </c>
      <c r="F64" s="45"/>
      <c r="G64" s="5">
        <f>'Series Detail'!AC66</f>
        <v>19690625</v>
      </c>
      <c r="H64" s="45"/>
      <c r="I64" s="5">
        <f>'Series Detail'!AD66</f>
        <v>0</v>
      </c>
      <c r="J64" s="45"/>
      <c r="K64" s="5">
        <f>'Series Detail'!AE66</f>
        <v>0</v>
      </c>
      <c r="L64" s="45"/>
      <c r="M64" s="5">
        <f t="shared" si="0"/>
        <v>76885625</v>
      </c>
      <c r="N64" s="4"/>
      <c r="O64" s="5"/>
      <c r="P64" s="5"/>
      <c r="Q64" s="5"/>
      <c r="R64" s="5"/>
      <c r="T64" s="5"/>
      <c r="U64" s="5"/>
      <c r="V64" s="5"/>
      <c r="W64" s="5"/>
    </row>
    <row r="65" spans="1:23" ht="13.9" x14ac:dyDescent="0.4">
      <c r="A65" s="8">
        <f t="shared" si="1"/>
        <v>53858</v>
      </c>
      <c r="B65" s="8"/>
      <c r="C65" s="6"/>
      <c r="D65" s="6"/>
      <c r="E65" s="5"/>
      <c r="F65" s="45"/>
      <c r="G65" s="5">
        <f>'Series Detail'!AC67</f>
        <v>18260750</v>
      </c>
      <c r="H65" s="45"/>
      <c r="I65" s="5">
        <f>'Series Detail'!AD67</f>
        <v>0</v>
      </c>
      <c r="J65" s="45"/>
      <c r="K65" s="5">
        <f>'Series Detail'!AE67</f>
        <v>0</v>
      </c>
      <c r="L65" s="45"/>
      <c r="M65" s="5">
        <f t="shared" si="0"/>
        <v>18260750</v>
      </c>
      <c r="N65" s="4"/>
      <c r="O65" s="5"/>
      <c r="P65" s="5"/>
      <c r="Q65" s="5"/>
      <c r="R65" s="5"/>
      <c r="T65" s="5"/>
      <c r="U65" s="5"/>
      <c r="V65" s="5"/>
      <c r="W65" s="5"/>
    </row>
    <row r="66" spans="1:23" ht="13.9" x14ac:dyDescent="0.4">
      <c r="A66" s="8">
        <f t="shared" si="1"/>
        <v>54041</v>
      </c>
      <c r="B66" s="8"/>
      <c r="C66" s="6">
        <v>0.05</v>
      </c>
      <c r="D66" s="6"/>
      <c r="E66" s="5">
        <f>'Series Detail'!Y68+'Series Detail'!AA68</f>
        <v>164330000</v>
      </c>
      <c r="F66" s="45"/>
      <c r="G66" s="5">
        <f>'Series Detail'!AC68</f>
        <v>18260750</v>
      </c>
      <c r="H66" s="45"/>
      <c r="I66" s="5">
        <f>'Series Detail'!AD68</f>
        <v>0</v>
      </c>
      <c r="J66" s="45"/>
      <c r="K66" s="5">
        <f>'Series Detail'!AE68</f>
        <v>0</v>
      </c>
      <c r="L66" s="45"/>
      <c r="M66" s="5">
        <f t="shared" si="0"/>
        <v>182590750</v>
      </c>
      <c r="N66" s="4"/>
      <c r="O66" s="5"/>
      <c r="P66" s="5"/>
      <c r="Q66" s="5"/>
      <c r="R66" s="5"/>
      <c r="T66" s="5"/>
      <c r="U66" s="5"/>
      <c r="V66" s="5"/>
      <c r="W66" s="5"/>
    </row>
    <row r="67" spans="1:23" ht="13.9" x14ac:dyDescent="0.4">
      <c r="A67" s="8">
        <f t="shared" si="1"/>
        <v>54224</v>
      </c>
      <c r="B67" s="8"/>
      <c r="C67" s="6" t="s">
        <v>109</v>
      </c>
      <c r="D67" s="6"/>
      <c r="E67" s="5">
        <f>'Series Detail'!Y69+'Series Detail'!AA69</f>
        <v>112000000</v>
      </c>
      <c r="F67" s="45"/>
      <c r="G67" s="5">
        <f>'Series Detail'!AC69</f>
        <v>14152500</v>
      </c>
      <c r="H67" s="45"/>
      <c r="I67" s="5">
        <f>'Series Detail'!AD69</f>
        <v>0</v>
      </c>
      <c r="J67" s="45"/>
      <c r="K67" s="5">
        <f>'Series Detail'!AE69</f>
        <v>0</v>
      </c>
      <c r="L67" s="45"/>
      <c r="M67" s="5">
        <f t="shared" si="0"/>
        <v>126152500</v>
      </c>
      <c r="N67" s="4"/>
      <c r="O67" s="5"/>
      <c r="P67" s="5"/>
      <c r="Q67" s="5"/>
      <c r="R67" s="5"/>
      <c r="T67" s="5"/>
      <c r="U67" s="5"/>
      <c r="V67" s="5"/>
      <c r="W67" s="5"/>
    </row>
    <row r="68" spans="1:23" ht="13.9" x14ac:dyDescent="0.4">
      <c r="A68" s="8">
        <f t="shared" si="1"/>
        <v>54407</v>
      </c>
      <c r="B68" s="8"/>
      <c r="C68" s="6" t="s">
        <v>109</v>
      </c>
      <c r="D68" s="6"/>
      <c r="E68" s="5">
        <f>'Series Detail'!Y70+'Series Detail'!AA70</f>
        <v>176630000</v>
      </c>
      <c r="F68" s="45"/>
      <c r="G68" s="5">
        <f>'Series Detail'!AC70</f>
        <v>11726650</v>
      </c>
      <c r="H68" s="45"/>
      <c r="I68" s="5">
        <f>'Series Detail'!AD70</f>
        <v>0</v>
      </c>
      <c r="J68" s="45"/>
      <c r="K68" s="5">
        <f>'Series Detail'!AE70</f>
        <v>0</v>
      </c>
      <c r="L68" s="45"/>
      <c r="M68" s="5">
        <f t="shared" si="0"/>
        <v>188356650</v>
      </c>
      <c r="N68" s="4"/>
      <c r="O68" s="5"/>
      <c r="P68" s="5"/>
      <c r="Q68" s="5"/>
      <c r="R68" s="5"/>
      <c r="T68" s="5"/>
      <c r="U68" s="5"/>
      <c r="V68" s="5"/>
      <c r="W68" s="5"/>
    </row>
    <row r="69" spans="1:23" ht="13.9" x14ac:dyDescent="0.4">
      <c r="A69" s="8">
        <f t="shared" si="1"/>
        <v>54589</v>
      </c>
      <c r="B69" s="8"/>
      <c r="C69" s="6" t="s">
        <v>109</v>
      </c>
      <c r="D69" s="6"/>
      <c r="E69" s="5">
        <f>'Series Detail'!Y71+'Series Detail'!AA71</f>
        <v>112490000</v>
      </c>
      <c r="F69" s="45"/>
      <c r="G69" s="5">
        <f>'Series Detail'!AC71</f>
        <v>7898600</v>
      </c>
      <c r="H69" s="45"/>
      <c r="I69" s="5">
        <f>'Series Detail'!AD71</f>
        <v>0</v>
      </c>
      <c r="J69" s="45"/>
      <c r="K69" s="5">
        <f>'Series Detail'!AE71</f>
        <v>0</v>
      </c>
      <c r="L69" s="45"/>
      <c r="M69" s="5">
        <f t="shared" si="0"/>
        <v>120388600</v>
      </c>
      <c r="N69" s="4"/>
      <c r="O69" s="5"/>
      <c r="P69" s="5"/>
      <c r="Q69" s="5"/>
      <c r="R69" s="5"/>
      <c r="T69" s="5"/>
      <c r="U69" s="5"/>
      <c r="V69" s="5"/>
      <c r="W69" s="5"/>
    </row>
    <row r="70" spans="1:23" ht="13.9" x14ac:dyDescent="0.4">
      <c r="A70" s="8">
        <f t="shared" si="1"/>
        <v>54772</v>
      </c>
      <c r="B70" s="8"/>
      <c r="C70" s="6" t="s">
        <v>109</v>
      </c>
      <c r="D70" s="6"/>
      <c r="E70" s="5">
        <f>'Series Detail'!Y72+'Series Detail'!AA72</f>
        <v>128735000</v>
      </c>
      <c r="F70" s="45"/>
      <c r="G70" s="5">
        <f>'Series Detail'!AC72</f>
        <v>5462975</v>
      </c>
      <c r="H70" s="45"/>
      <c r="I70" s="5">
        <f>'Series Detail'!AD72</f>
        <v>0</v>
      </c>
      <c r="J70" s="45"/>
      <c r="K70" s="5">
        <f>'Series Detail'!AE72</f>
        <v>0</v>
      </c>
      <c r="L70" s="45"/>
      <c r="M70" s="5">
        <f t="shared" si="0"/>
        <v>134197975</v>
      </c>
      <c r="N70" s="4"/>
      <c r="O70" s="5"/>
      <c r="P70" s="5"/>
      <c r="Q70" s="5"/>
      <c r="R70" s="5"/>
      <c r="T70" s="5"/>
      <c r="U70" s="5"/>
      <c r="V70" s="5"/>
      <c r="W70" s="5"/>
    </row>
    <row r="71" spans="1:23" ht="13.9" x14ac:dyDescent="0.4">
      <c r="A71" s="8">
        <f t="shared" si="1"/>
        <v>54954</v>
      </c>
      <c r="B71" s="8"/>
      <c r="C71" s="6" t="s">
        <v>109</v>
      </c>
      <c r="D71" s="6"/>
      <c r="E71" s="5">
        <f>'Series Detail'!Y73+'Series Detail'!AA73</f>
        <v>123645000</v>
      </c>
      <c r="F71" s="45"/>
      <c r="G71" s="5">
        <f>'Series Detail'!AC73</f>
        <v>2652900</v>
      </c>
      <c r="H71" s="45"/>
      <c r="I71" s="5">
        <f>'Series Detail'!AD73</f>
        <v>0</v>
      </c>
      <c r="J71" s="45"/>
      <c r="K71" s="5">
        <f>'Series Detail'!AE73</f>
        <v>0</v>
      </c>
      <c r="L71" s="45"/>
      <c r="M71" s="5">
        <f t="shared" si="0"/>
        <v>126297900</v>
      </c>
      <c r="N71" s="5"/>
      <c r="O71" s="5"/>
      <c r="P71" s="5"/>
      <c r="Q71" s="5"/>
      <c r="R71" s="5"/>
      <c r="T71" s="5"/>
      <c r="U71" s="5"/>
      <c r="V71" s="5"/>
      <c r="W71" s="5"/>
    </row>
    <row r="72" spans="1:23" ht="13.9" x14ac:dyDescent="0.4">
      <c r="A72" s="8"/>
      <c r="B72" s="8"/>
      <c r="C72" s="8"/>
      <c r="D72" s="8"/>
      <c r="E72" s="44"/>
      <c r="F72" s="43"/>
      <c r="G72" s="44"/>
      <c r="H72" s="43"/>
      <c r="I72" s="44"/>
      <c r="J72" s="43"/>
      <c r="K72" s="44"/>
      <c r="L72" s="43"/>
      <c r="M72" s="44"/>
      <c r="N72" s="4"/>
      <c r="O72" s="43"/>
      <c r="P72" s="43"/>
      <c r="Q72" s="43"/>
      <c r="R72" s="43"/>
      <c r="T72" s="43"/>
      <c r="U72" s="43"/>
      <c r="V72" s="43"/>
      <c r="W72" s="43"/>
    </row>
    <row r="73" spans="1:23" ht="14.25" thickBot="1" x14ac:dyDescent="0.45">
      <c r="A73" s="8"/>
      <c r="B73" s="8"/>
      <c r="C73" s="8" t="s">
        <v>40</v>
      </c>
      <c r="D73" s="8"/>
      <c r="E73" s="49">
        <f>SUM(E10:E72)</f>
        <v>881905000</v>
      </c>
      <c r="F73" s="43"/>
      <c r="G73" s="49">
        <f>SUM(G10:G72)</f>
        <v>1140006116.6700001</v>
      </c>
      <c r="H73" s="43"/>
      <c r="I73" s="49">
        <f>SUM(I10:I72)</f>
        <v>0</v>
      </c>
      <c r="J73" s="43"/>
      <c r="K73" s="49">
        <f>SUM(K10:K72)</f>
        <v>-23961878.119999997</v>
      </c>
      <c r="L73" s="43"/>
      <c r="M73" s="49">
        <f>SUM(M10:M72)</f>
        <v>1997949238.55</v>
      </c>
      <c r="N73" s="4"/>
      <c r="O73" s="5"/>
      <c r="P73" s="5"/>
      <c r="Q73" s="5"/>
      <c r="R73" s="5"/>
      <c r="T73" s="5"/>
      <c r="U73" s="5"/>
      <c r="V73" s="5"/>
      <c r="W73" s="5"/>
    </row>
    <row r="74" spans="1:23" ht="14.25" thickTop="1" x14ac:dyDescent="0.4">
      <c r="A74" s="8"/>
      <c r="B74" s="8"/>
      <c r="C74" s="8"/>
      <c r="D74" s="8"/>
      <c r="E74" s="43"/>
      <c r="F74" s="43"/>
      <c r="G74" s="43"/>
      <c r="H74" s="43"/>
      <c r="I74" s="43"/>
      <c r="J74" s="43"/>
      <c r="K74" s="43"/>
      <c r="L74" s="43"/>
      <c r="M74" s="43"/>
      <c r="N74" s="4"/>
      <c r="O74" s="43"/>
      <c r="P74" s="43"/>
      <c r="Q74" s="43"/>
      <c r="R74" s="43"/>
      <c r="T74" s="43"/>
      <c r="U74" s="43"/>
      <c r="V74" s="43"/>
      <c r="W74" s="43"/>
    </row>
    <row r="75" spans="1:23" ht="13.9" x14ac:dyDescent="0.4">
      <c r="A75" s="8"/>
      <c r="B75" s="8"/>
      <c r="C75" s="8"/>
      <c r="D75" s="8"/>
      <c r="E75" s="43"/>
      <c r="F75" s="43"/>
      <c r="G75" s="43"/>
      <c r="H75" s="43"/>
      <c r="I75" s="43"/>
      <c r="J75" s="43"/>
      <c r="K75" s="43"/>
      <c r="L75" s="43"/>
      <c r="M75" s="43"/>
      <c r="N75" s="4"/>
      <c r="O75" s="43"/>
      <c r="P75" s="43"/>
      <c r="Q75" s="43"/>
      <c r="R75" s="43"/>
      <c r="T75" s="43"/>
      <c r="U75" s="43"/>
      <c r="V75" s="43"/>
      <c r="W75" s="43"/>
    </row>
    <row r="76" spans="1:23" ht="13.9" x14ac:dyDescent="0.4">
      <c r="A76" s="203">
        <f ca="1">NOW()</f>
        <v>43964.71279351852</v>
      </c>
      <c r="B76" s="203"/>
      <c r="C76" s="203"/>
      <c r="D76" s="8"/>
      <c r="J76" s="43"/>
      <c r="K76" s="43"/>
      <c r="L76" s="43"/>
      <c r="M76" s="5"/>
      <c r="N76" s="5"/>
      <c r="O76" s="5"/>
      <c r="P76" s="5"/>
      <c r="Q76" s="5"/>
      <c r="R76" s="5"/>
      <c r="T76" s="5"/>
      <c r="U76" s="5"/>
      <c r="V76" s="5"/>
      <c r="W76" s="5"/>
    </row>
    <row r="78" spans="1:23" ht="13.9" x14ac:dyDescent="0.4">
      <c r="E78" s="45"/>
      <c r="N78" s="40"/>
    </row>
    <row r="79" spans="1:23" ht="13.9" x14ac:dyDescent="0.4">
      <c r="E79" s="45"/>
      <c r="G79" s="40"/>
      <c r="I79" s="40"/>
      <c r="M79" s="40"/>
      <c r="O79" s="40"/>
      <c r="P79" s="40"/>
      <c r="Q79" s="40"/>
      <c r="R79" s="40"/>
      <c r="T79" s="40"/>
      <c r="U79" s="40"/>
      <c r="V79" s="40"/>
      <c r="W79" s="40"/>
    </row>
    <row r="80" spans="1:23" ht="13.9" x14ac:dyDescent="0.4">
      <c r="E80" s="45"/>
    </row>
    <row r="81" spans="5:5" ht="13.9" x14ac:dyDescent="0.4">
      <c r="E81" s="45"/>
    </row>
  </sheetData>
  <mergeCells count="1">
    <mergeCell ref="A76:C76"/>
  </mergeCells>
  <printOptions horizontalCentered="1"/>
  <pageMargins left="0.7" right="0.7" top="0.75" bottom="0.75" header="0.3" footer="0.3"/>
  <pageSetup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57"/>
  <sheetViews>
    <sheetView zoomScaleNormal="100" zoomScaleSheetLayoutView="100" workbookViewId="0">
      <selection activeCell="C10" sqref="C10"/>
    </sheetView>
  </sheetViews>
  <sheetFormatPr defaultColWidth="9.33203125" defaultRowHeight="13.9" x14ac:dyDescent="0.4"/>
  <cols>
    <col min="1" max="2" width="9.33203125" style="15"/>
    <col min="3" max="3" width="17.5" style="15" customWidth="1"/>
    <col min="4" max="6" width="9.33203125" style="15"/>
    <col min="7" max="7" width="9.33203125" style="15" customWidth="1"/>
    <col min="8" max="9" width="9.33203125" style="15"/>
    <col min="10" max="10" width="10" style="15" customWidth="1"/>
    <col min="11" max="11" width="21.83203125" style="15" customWidth="1"/>
    <col min="12" max="12" width="9.33203125" style="15"/>
    <col min="13" max="13" width="14.83203125" style="15" bestFit="1" customWidth="1"/>
    <col min="14" max="16384" width="9.33203125" style="15"/>
  </cols>
  <sheetData>
    <row r="2" spans="2:12" x14ac:dyDescent="0.4">
      <c r="L2" s="103" t="e">
        <v>#VALUE!</v>
      </c>
    </row>
    <row r="3" spans="2:12" x14ac:dyDescent="0.4">
      <c r="L3" s="103" t="e">
        <v>#VALUE!</v>
      </c>
    </row>
    <row r="4" spans="2:12" x14ac:dyDescent="0.4">
      <c r="L4" s="103" t="e">
        <v>#VALUE!</v>
      </c>
    </row>
    <row r="6" spans="2:12" s="46" customFormat="1" ht="13.5" x14ac:dyDescent="0.3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ht="13.5" x14ac:dyDescent="0.3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4">
      <c r="B10" s="15" t="e">
        <v>#VALUE!</v>
      </c>
      <c r="C10" s="120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4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4">
      <c r="B14" s="15" t="e">
        <v>#VALUE!</v>
      </c>
      <c r="C14" s="15" t="e">
        <v>#VALUE!</v>
      </c>
    </row>
    <row r="15" spans="2:12" x14ac:dyDescent="0.4">
      <c r="C15" s="15" t="e">
        <v>#VALUE!</v>
      </c>
    </row>
    <row r="17" spans="3:11" x14ac:dyDescent="0.4">
      <c r="C17" s="15" t="e">
        <v>#VALUE!</v>
      </c>
      <c r="K17" s="106" t="e">
        <v>#VALUE!</v>
      </c>
    </row>
    <row r="18" spans="3:11" x14ac:dyDescent="0.4">
      <c r="K18" s="103"/>
    </row>
    <row r="19" spans="3:11" x14ac:dyDescent="0.4">
      <c r="C19" s="15" t="e">
        <v>#VALUE!</v>
      </c>
      <c r="K19" s="103" t="e">
        <v>#VALUE!</v>
      </c>
    </row>
    <row r="20" spans="3:11" x14ac:dyDescent="0.4">
      <c r="K20" s="103" t="e">
        <v>#VALUE!</v>
      </c>
    </row>
    <row r="21" spans="3:11" x14ac:dyDescent="0.4">
      <c r="K21" s="106" t="e">
        <v>#VALUE!</v>
      </c>
    </row>
    <row r="22" spans="3:11" x14ac:dyDescent="0.4">
      <c r="K22" s="103"/>
    </row>
    <row r="23" spans="3:11" x14ac:dyDescent="0.4">
      <c r="C23" s="15" t="e">
        <v>#VALUE!</v>
      </c>
      <c r="K23" s="109">
        <v>55948926.100000001</v>
      </c>
    </row>
    <row r="24" spans="3:11" x14ac:dyDescent="0.4">
      <c r="K24" s="103"/>
    </row>
    <row r="25" spans="3:11" x14ac:dyDescent="0.4">
      <c r="C25" s="15" t="e">
        <v>#VALUE!</v>
      </c>
      <c r="K25" s="103"/>
    </row>
    <row r="26" spans="3:11" x14ac:dyDescent="0.4">
      <c r="C26" s="15" t="e">
        <v>#VALUE!</v>
      </c>
      <c r="K26" s="103"/>
    </row>
    <row r="27" spans="3:11" x14ac:dyDescent="0.4">
      <c r="C27" s="15" t="e">
        <v>#VALUE!</v>
      </c>
      <c r="K27" s="103"/>
    </row>
    <row r="28" spans="3:11" x14ac:dyDescent="0.4">
      <c r="C28" s="15" t="e">
        <v>#VALUE!</v>
      </c>
      <c r="K28" s="109">
        <f>K23</f>
        <v>55948926.100000001</v>
      </c>
    </row>
    <row r="29" spans="3:11" x14ac:dyDescent="0.4">
      <c r="K29" s="103"/>
    </row>
    <row r="30" spans="3:11" x14ac:dyDescent="0.4">
      <c r="C30" s="15" t="e">
        <v>#VALUE!</v>
      </c>
      <c r="K30" s="109">
        <v>0</v>
      </c>
    </row>
    <row r="31" spans="3:11" x14ac:dyDescent="0.4">
      <c r="K31" s="103"/>
    </row>
    <row r="32" spans="3:11" x14ac:dyDescent="0.4">
      <c r="C32" s="15" t="e">
        <v>#VALUE!</v>
      </c>
      <c r="K32" s="109">
        <v>0</v>
      </c>
    </row>
    <row r="33" spans="3:13" x14ac:dyDescent="0.4">
      <c r="K33" s="103"/>
    </row>
    <row r="34" spans="3:13" x14ac:dyDescent="0.4">
      <c r="C34" s="15" t="e">
        <v>#VALUE!</v>
      </c>
      <c r="K34" s="103"/>
    </row>
    <row r="35" spans="3:13" x14ac:dyDescent="0.4">
      <c r="K35" s="103"/>
    </row>
    <row r="36" spans="3:13" x14ac:dyDescent="0.4">
      <c r="C36" s="15" t="e">
        <v>#VALUE!</v>
      </c>
      <c r="K36" s="109">
        <v>0</v>
      </c>
    </row>
    <row r="37" spans="3:13" x14ac:dyDescent="0.4">
      <c r="K37" s="103"/>
    </row>
    <row r="38" spans="3:13" x14ac:dyDescent="0.4">
      <c r="C38" s="15" t="e">
        <v>#VALUE!</v>
      </c>
      <c r="K38" s="109">
        <v>82182.929999999993</v>
      </c>
    </row>
    <row r="39" spans="3:13" x14ac:dyDescent="0.4">
      <c r="K39" s="110"/>
    </row>
    <row r="40" spans="3:13" x14ac:dyDescent="0.4">
      <c r="C40" s="15" t="e">
        <v>#VALUE!</v>
      </c>
      <c r="K40" s="109">
        <f>191429.57+2243.16</f>
        <v>193672.73</v>
      </c>
    </row>
    <row r="41" spans="3:13" x14ac:dyDescent="0.4">
      <c r="K41" s="103"/>
    </row>
    <row r="42" spans="3:13" x14ac:dyDescent="0.4">
      <c r="C42" s="15" t="e">
        <v>#VALUE!</v>
      </c>
      <c r="K42" s="103"/>
    </row>
    <row r="43" spans="3:13" x14ac:dyDescent="0.4">
      <c r="K43" s="103"/>
      <c r="M43" s="112"/>
    </row>
    <row r="44" spans="3:13" x14ac:dyDescent="0.4">
      <c r="C44" s="15" t="e">
        <v>#VALUE!</v>
      </c>
      <c r="K44" s="109">
        <f>55673070.44</f>
        <v>55673070.439999998</v>
      </c>
      <c r="M44" s="112"/>
    </row>
    <row r="45" spans="3:13" x14ac:dyDescent="0.4">
      <c r="K45" s="103"/>
    </row>
    <row r="46" spans="3:13" x14ac:dyDescent="0.4">
      <c r="C46" s="15" t="e">
        <v>#VALUE!</v>
      </c>
      <c r="K46" s="109">
        <v>0</v>
      </c>
    </row>
    <row r="47" spans="3:13" x14ac:dyDescent="0.4">
      <c r="K47" s="103"/>
    </row>
    <row r="48" spans="3:13" x14ac:dyDescent="0.4">
      <c r="C48" s="15" t="e">
        <v>#VALUE!</v>
      </c>
      <c r="K48" s="109">
        <v>0</v>
      </c>
    </row>
    <row r="49" spans="3:11" x14ac:dyDescent="0.4">
      <c r="K49" s="103"/>
    </row>
    <row r="50" spans="3:11" x14ac:dyDescent="0.4">
      <c r="C50" s="15" t="e">
        <v>#VALUE!</v>
      </c>
      <c r="K50" s="109">
        <v>0</v>
      </c>
    </row>
    <row r="51" spans="3:11" x14ac:dyDescent="0.4">
      <c r="K51" s="103"/>
    </row>
    <row r="52" spans="3:11" x14ac:dyDescent="0.4">
      <c r="C52" s="15" t="e">
        <v>#VALUE!</v>
      </c>
      <c r="K52" s="109">
        <v>0</v>
      </c>
    </row>
    <row r="53" spans="3:11" x14ac:dyDescent="0.4">
      <c r="K53" s="103"/>
    </row>
    <row r="54" spans="3:11" x14ac:dyDescent="0.4">
      <c r="C54" s="15" t="e">
        <v>#VALUE!</v>
      </c>
      <c r="K54" s="109">
        <v>0</v>
      </c>
    </row>
    <row r="55" spans="3:11" x14ac:dyDescent="0.4">
      <c r="K55" s="103"/>
    </row>
    <row r="56" spans="3:11" x14ac:dyDescent="0.4">
      <c r="C56" s="15" t="e">
        <v>#VALUE!</v>
      </c>
      <c r="K56" s="103"/>
    </row>
    <row r="57" spans="3:11" x14ac:dyDescent="0.4">
      <c r="C57" s="15" t="e">
        <v>#VALUE!</v>
      </c>
      <c r="K57" s="103"/>
    </row>
  </sheetData>
  <pageMargins left="0.7" right="0.7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53"/>
  <sheetViews>
    <sheetView zoomScaleNormal="100" zoomScaleSheetLayoutView="100" workbookViewId="0">
      <selection activeCell="C10" sqref="C10"/>
    </sheetView>
  </sheetViews>
  <sheetFormatPr defaultColWidth="9.33203125" defaultRowHeight="13.9" x14ac:dyDescent="0.4"/>
  <cols>
    <col min="1" max="2" width="9.33203125" style="15"/>
    <col min="3" max="3" width="17.5" style="15" customWidth="1"/>
    <col min="4" max="6" width="9.33203125" style="15"/>
    <col min="7" max="7" width="9.33203125" style="15" customWidth="1"/>
    <col min="8" max="8" width="9.33203125" style="15"/>
    <col min="9" max="9" width="20.83203125" style="15" customWidth="1"/>
    <col min="10" max="10" width="10" style="15" customWidth="1"/>
    <col min="11" max="11" width="21.83203125" style="15" customWidth="1"/>
    <col min="12" max="16384" width="9.33203125" style="15"/>
  </cols>
  <sheetData>
    <row r="2" spans="2:12" x14ac:dyDescent="0.4">
      <c r="I2" s="114"/>
      <c r="L2" s="103" t="e">
        <v>#VALUE!</v>
      </c>
    </row>
    <row r="3" spans="2:12" x14ac:dyDescent="0.4">
      <c r="I3" s="114"/>
      <c r="L3" s="103" t="e">
        <v>#VALUE!</v>
      </c>
    </row>
    <row r="4" spans="2:12" x14ac:dyDescent="0.4">
      <c r="I4" s="114"/>
      <c r="L4" s="103" t="e">
        <v>#VALUE!</v>
      </c>
    </row>
    <row r="6" spans="2:12" s="46" customFormat="1" ht="13.5" x14ac:dyDescent="0.3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ht="13.5" x14ac:dyDescent="0.3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4">
      <c r="B10" s="15" t="e">
        <v>#VALUE!</v>
      </c>
      <c r="C10" s="120">
        <v>43836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4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4">
      <c r="B14" s="15" t="e">
        <v>#VALUE!</v>
      </c>
      <c r="C14" s="15" t="e">
        <v>#VALUE!</v>
      </c>
    </row>
    <row r="17" spans="3:11" x14ac:dyDescent="0.4">
      <c r="I17" s="108" t="e">
        <v>#VALUE!</v>
      </c>
      <c r="J17" s="108"/>
      <c r="K17" s="108" t="e">
        <v>#VALUE!</v>
      </c>
    </row>
    <row r="19" spans="3:11" x14ac:dyDescent="0.4">
      <c r="C19" s="15" t="e">
        <v>#VALUE!</v>
      </c>
      <c r="I19" s="109">
        <v>54503402.899999999</v>
      </c>
      <c r="K19" s="103"/>
    </row>
    <row r="20" spans="3:11" x14ac:dyDescent="0.4">
      <c r="K20" s="103"/>
    </row>
    <row r="21" spans="3:11" x14ac:dyDescent="0.4">
      <c r="C21" s="15" t="e">
        <v>#VALUE!</v>
      </c>
      <c r="I21" s="109">
        <v>1032891.7916666666</v>
      </c>
      <c r="K21" s="103"/>
    </row>
    <row r="22" spans="3:11" x14ac:dyDescent="0.4">
      <c r="K22" s="103"/>
    </row>
    <row r="23" spans="3:11" x14ac:dyDescent="0.4">
      <c r="C23" s="15" t="e">
        <v>#VALUE!</v>
      </c>
      <c r="I23" s="109">
        <v>0</v>
      </c>
      <c r="K23" s="103"/>
    </row>
    <row r="24" spans="3:11" x14ac:dyDescent="0.4">
      <c r="K24" s="103"/>
    </row>
    <row r="25" spans="3:11" x14ac:dyDescent="0.4">
      <c r="C25" s="15" t="e">
        <v>#VALUE!</v>
      </c>
      <c r="I25" s="109">
        <v>0</v>
      </c>
      <c r="K25" s="103"/>
    </row>
    <row r="26" spans="3:11" x14ac:dyDescent="0.4">
      <c r="K26" s="103"/>
    </row>
    <row r="27" spans="3:11" x14ac:dyDescent="0.4">
      <c r="C27" s="15" t="e">
        <v>#VALUE!</v>
      </c>
      <c r="I27" s="109">
        <v>0</v>
      </c>
      <c r="K27" s="103"/>
    </row>
    <row r="28" spans="3:11" x14ac:dyDescent="0.4">
      <c r="K28" s="103"/>
    </row>
    <row r="29" spans="3:11" x14ac:dyDescent="0.4">
      <c r="C29" s="15" t="e">
        <v>#VALUE!</v>
      </c>
      <c r="I29" s="109">
        <v>0</v>
      </c>
      <c r="K29" s="103"/>
    </row>
    <row r="30" spans="3:11" x14ac:dyDescent="0.4">
      <c r="K30" s="103"/>
    </row>
    <row r="31" spans="3:11" x14ac:dyDescent="0.4">
      <c r="C31" s="15" t="e">
        <v>#VALUE!</v>
      </c>
      <c r="I31" s="109">
        <v>834607.98504124023</v>
      </c>
      <c r="K31" s="103"/>
    </row>
    <row r="32" spans="3:11" x14ac:dyDescent="0.4">
      <c r="I32" s="110"/>
      <c r="K32" s="103"/>
    </row>
    <row r="33" spans="3:11" x14ac:dyDescent="0.4">
      <c r="C33" s="15" t="e">
        <v>#VALUE!</v>
      </c>
      <c r="I33" s="109">
        <f>'C-31 1of3'!K38+'C-31 1of3'!K40</f>
        <v>275855.66000000003</v>
      </c>
      <c r="K33" s="103"/>
    </row>
    <row r="34" spans="3:11" x14ac:dyDescent="0.4">
      <c r="K34" s="103"/>
    </row>
    <row r="35" spans="3:11" x14ac:dyDescent="0.4">
      <c r="C35" s="15" t="e">
        <v>#VALUE!</v>
      </c>
      <c r="I35" s="109">
        <v>0</v>
      </c>
      <c r="K35" s="103"/>
    </row>
    <row r="36" spans="3:11" x14ac:dyDescent="0.4">
      <c r="K36" s="103"/>
    </row>
    <row r="37" spans="3:11" x14ac:dyDescent="0.4">
      <c r="C37" s="15" t="e">
        <v>#VALUE!</v>
      </c>
      <c r="I37" s="110"/>
      <c r="K37" s="109">
        <v>55948926.100000001</v>
      </c>
    </row>
    <row r="38" spans="3:11" x14ac:dyDescent="0.4">
      <c r="I38" s="19"/>
    </row>
    <row r="39" spans="3:11" x14ac:dyDescent="0.4">
      <c r="C39" s="15" t="e">
        <v>#VALUE!</v>
      </c>
      <c r="I39" s="110"/>
      <c r="K39" s="109">
        <v>0</v>
      </c>
    </row>
    <row r="40" spans="3:11" x14ac:dyDescent="0.4">
      <c r="I40" s="19"/>
      <c r="K40" s="103"/>
    </row>
    <row r="41" spans="3:11" x14ac:dyDescent="0.4">
      <c r="C41" s="15" t="e">
        <v>#VALUE!</v>
      </c>
      <c r="K41" s="109">
        <v>0</v>
      </c>
    </row>
    <row r="42" spans="3:11" x14ac:dyDescent="0.4">
      <c r="K42" s="103"/>
    </row>
    <row r="43" spans="3:11" x14ac:dyDescent="0.4">
      <c r="C43" s="15" t="e">
        <v>#VALUE!</v>
      </c>
      <c r="K43" s="109">
        <v>0</v>
      </c>
    </row>
    <row r="44" spans="3:11" x14ac:dyDescent="0.4">
      <c r="K44" s="103"/>
    </row>
    <row r="45" spans="3:11" x14ac:dyDescent="0.4">
      <c r="C45" s="15" t="e">
        <v>#VALUE!</v>
      </c>
      <c r="K45" s="109">
        <v>54383.94</v>
      </c>
    </row>
    <row r="46" spans="3:11" x14ac:dyDescent="0.4">
      <c r="K46" s="103"/>
    </row>
    <row r="47" spans="3:11" x14ac:dyDescent="0.4">
      <c r="C47" s="15" t="e">
        <v>#VALUE!</v>
      </c>
      <c r="K47" s="109">
        <v>0</v>
      </c>
    </row>
    <row r="48" spans="3:11" x14ac:dyDescent="0.4">
      <c r="K48" s="103"/>
    </row>
    <row r="49" spans="3:11" x14ac:dyDescent="0.4">
      <c r="C49" s="15" t="e">
        <v>#VALUE!</v>
      </c>
      <c r="K49" s="109">
        <f>SUM(I19:I33)-SUM(K37:K47)</f>
        <v>643448.29670789838</v>
      </c>
    </row>
    <row r="50" spans="3:11" x14ac:dyDescent="0.4">
      <c r="K50" s="103"/>
    </row>
    <row r="51" spans="3:11" ht="14.25" thickBot="1" x14ac:dyDescent="0.45">
      <c r="I51" s="111">
        <f>SUM(I19:I50)</f>
        <v>56646758.336707897</v>
      </c>
      <c r="K51" s="111">
        <f>SUM(K19:K50)</f>
        <v>56646758.336707897</v>
      </c>
    </row>
    <row r="52" spans="3:11" ht="14.25" thickTop="1" x14ac:dyDescent="0.4"/>
    <row r="53" spans="3:11" x14ac:dyDescent="0.4">
      <c r="I53" s="112"/>
    </row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L62"/>
  <sheetViews>
    <sheetView zoomScaleNormal="100" zoomScaleSheetLayoutView="100" workbookViewId="0">
      <selection activeCell="C10" sqref="C10"/>
    </sheetView>
  </sheetViews>
  <sheetFormatPr defaultColWidth="9.33203125" defaultRowHeight="13.9" x14ac:dyDescent="0.4"/>
  <cols>
    <col min="1" max="2" width="9.33203125" style="15"/>
    <col min="3" max="3" width="17.5" style="15" customWidth="1"/>
    <col min="4" max="8" width="9.33203125" style="15"/>
    <col min="9" max="9" width="20.83203125" style="15" customWidth="1"/>
    <col min="10" max="10" width="10" style="15" customWidth="1"/>
    <col min="11" max="11" width="21.83203125" style="15" customWidth="1"/>
    <col min="12" max="16384" width="9.33203125" style="15"/>
  </cols>
  <sheetData>
    <row r="2" spans="2:12" x14ac:dyDescent="0.4">
      <c r="L2" s="103" t="e">
        <v>#VALUE!</v>
      </c>
    </row>
    <row r="3" spans="2:12" x14ac:dyDescent="0.4">
      <c r="L3" s="103" t="e">
        <v>#VALUE!</v>
      </c>
    </row>
    <row r="4" spans="2:12" x14ac:dyDescent="0.4">
      <c r="L4" s="103" t="e">
        <v>#VALUE!</v>
      </c>
    </row>
    <row r="6" spans="2:12" s="46" customFormat="1" ht="13.5" x14ac:dyDescent="0.35">
      <c r="B6" s="104" t="e">
        <v>#VALUE!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s="46" customFormat="1" ht="13.5" x14ac:dyDescent="0.35">
      <c r="B7" s="104" t="e">
        <v>#VALUE!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10" spans="2:12" x14ac:dyDescent="0.4">
      <c r="B10" s="15" t="e">
        <v>#VALUE!</v>
      </c>
      <c r="C10" s="113" t="e">
        <v>#VALUE!</v>
      </c>
      <c r="F10" s="15" t="e">
        <v>#VALUE!</v>
      </c>
      <c r="H10" s="17" t="e">
        <v>#VALUE!</v>
      </c>
      <c r="I10" s="17"/>
      <c r="J10" s="17"/>
      <c r="K10" s="17"/>
      <c r="L10" s="29">
        <v>574</v>
      </c>
    </row>
    <row r="11" spans="2:12" x14ac:dyDescent="0.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x14ac:dyDescent="0.4">
      <c r="B12" s="105" t="e">
        <v>#VALUE!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4" spans="2:12" x14ac:dyDescent="0.4">
      <c r="B14" s="15" t="e">
        <v>#VALUE!</v>
      </c>
      <c r="C14" s="15" t="e">
        <v>#VALUE!</v>
      </c>
    </row>
    <row r="15" spans="2:12" x14ac:dyDescent="0.4">
      <c r="C15" s="15" t="e">
        <v>#VALUE!</v>
      </c>
    </row>
    <row r="16" spans="2:12" x14ac:dyDescent="0.4">
      <c r="C16" s="15" t="e">
        <v>#VALUE!</v>
      </c>
    </row>
    <row r="17" spans="3:11" x14ac:dyDescent="0.4">
      <c r="C17" s="15" t="e">
        <v>#VALUE!</v>
      </c>
    </row>
    <row r="18" spans="3:11" x14ac:dyDescent="0.4">
      <c r="C18" s="15" t="e">
        <v>#VALUE!</v>
      </c>
    </row>
    <row r="20" spans="3:11" x14ac:dyDescent="0.4">
      <c r="C20" s="15" t="e">
        <v>#VALUE!</v>
      </c>
    </row>
    <row r="22" spans="3:11" x14ac:dyDescent="0.4">
      <c r="C22" s="15" t="e">
        <v>#VALUE!</v>
      </c>
      <c r="I22" s="110"/>
      <c r="K22" s="103"/>
    </row>
    <row r="23" spans="3:11" x14ac:dyDescent="0.4">
      <c r="K23" s="103"/>
    </row>
    <row r="24" spans="3:11" x14ac:dyDescent="0.4">
      <c r="C24" s="15" t="e">
        <v>#VALUE!</v>
      </c>
      <c r="I24" s="109"/>
      <c r="K24" s="103"/>
    </row>
    <row r="25" spans="3:11" x14ac:dyDescent="0.4">
      <c r="K25" s="103"/>
    </row>
    <row r="26" spans="3:11" x14ac:dyDescent="0.4">
      <c r="C26" s="15" t="e">
        <v>#VALUE!</v>
      </c>
      <c r="I26" s="109"/>
      <c r="K26" s="103"/>
    </row>
    <row r="27" spans="3:11" x14ac:dyDescent="0.4">
      <c r="K27" s="103"/>
    </row>
    <row r="28" spans="3:11" x14ac:dyDescent="0.4">
      <c r="C28" s="15" t="e">
        <v>#VALUE!</v>
      </c>
      <c r="I28" s="109"/>
      <c r="K28" s="103"/>
    </row>
    <row r="29" spans="3:11" x14ac:dyDescent="0.4">
      <c r="K29" s="103"/>
    </row>
    <row r="30" spans="3:11" x14ac:dyDescent="0.4">
      <c r="C30" s="15" t="e">
        <v>#VALUE!</v>
      </c>
      <c r="I30" s="110"/>
      <c r="K30" s="109"/>
    </row>
    <row r="31" spans="3:11" x14ac:dyDescent="0.4">
      <c r="K31" s="103"/>
    </row>
    <row r="32" spans="3:11" x14ac:dyDescent="0.4">
      <c r="C32" s="15" t="e">
        <v>#VALUE!</v>
      </c>
      <c r="I32" s="110"/>
      <c r="K32" s="103"/>
    </row>
    <row r="33" spans="3:11" x14ac:dyDescent="0.4">
      <c r="K33" s="103"/>
    </row>
    <row r="34" spans="3:11" x14ac:dyDescent="0.4">
      <c r="C34" s="15" t="e">
        <v>#VALUE!</v>
      </c>
      <c r="I34" s="110"/>
      <c r="K34" s="103"/>
    </row>
    <row r="35" spans="3:11" x14ac:dyDescent="0.4">
      <c r="C35" s="15" t="e">
        <v>#VALUE!</v>
      </c>
      <c r="I35" s="110"/>
      <c r="K35" s="109">
        <f>'C-31 1of3'!K44</f>
        <v>55673070.439999998</v>
      </c>
    </row>
    <row r="36" spans="3:11" x14ac:dyDescent="0.4">
      <c r="I36" s="110"/>
      <c r="K36" s="103"/>
    </row>
    <row r="37" spans="3:11" x14ac:dyDescent="0.4">
      <c r="C37" s="15" t="e">
        <v>#VALUE!</v>
      </c>
      <c r="I37" s="110"/>
      <c r="K37" s="103"/>
    </row>
    <row r="38" spans="3:11" x14ac:dyDescent="0.4">
      <c r="K38" s="103"/>
    </row>
    <row r="39" spans="3:11" x14ac:dyDescent="0.4">
      <c r="C39" s="15" t="e">
        <v>#VALUE!</v>
      </c>
      <c r="I39" s="110"/>
      <c r="K39" s="103"/>
    </row>
    <row r="40" spans="3:11" x14ac:dyDescent="0.4">
      <c r="K40" s="107"/>
    </row>
    <row r="41" spans="3:11" x14ac:dyDescent="0.4">
      <c r="C41" s="15" t="e">
        <v>#VALUE!</v>
      </c>
      <c r="I41" s="109">
        <f>'C-31 2of3'!I19</f>
        <v>54503402.899999999</v>
      </c>
      <c r="K41" s="110"/>
    </row>
    <row r="42" spans="3:11" x14ac:dyDescent="0.4">
      <c r="K42" s="19"/>
    </row>
    <row r="43" spans="3:11" x14ac:dyDescent="0.4">
      <c r="C43" s="15" t="e">
        <v>#VALUE!</v>
      </c>
      <c r="I43" s="109">
        <f>-'C-31 2of3'!K45</f>
        <v>-54383.94</v>
      </c>
      <c r="K43" s="110"/>
    </row>
    <row r="44" spans="3:11" x14ac:dyDescent="0.4">
      <c r="I44" s="103"/>
      <c r="K44" s="107"/>
    </row>
    <row r="45" spans="3:11" x14ac:dyDescent="0.4">
      <c r="C45" s="15" t="e">
        <v>#VALUE!</v>
      </c>
      <c r="I45" s="109">
        <f>'C-31 2of3'!I31</f>
        <v>834607.98504124023</v>
      </c>
      <c r="K45" s="110"/>
    </row>
    <row r="46" spans="3:11" x14ac:dyDescent="0.4">
      <c r="I46" s="103"/>
      <c r="K46" s="107"/>
    </row>
    <row r="47" spans="3:11" x14ac:dyDescent="0.4">
      <c r="C47" s="15" t="e">
        <v>#VALUE!</v>
      </c>
      <c r="I47" s="109">
        <v>0</v>
      </c>
      <c r="K47" s="110"/>
    </row>
    <row r="48" spans="3:11" x14ac:dyDescent="0.4">
      <c r="K48" s="103"/>
    </row>
    <row r="49" spans="3:11" x14ac:dyDescent="0.4">
      <c r="C49" s="15" t="e">
        <v>#VALUE!</v>
      </c>
      <c r="K49" s="109">
        <f>SUM(I41:I47)</f>
        <v>55283626.945041239</v>
      </c>
    </row>
    <row r="50" spans="3:11" x14ac:dyDescent="0.4">
      <c r="K50" s="103"/>
    </row>
    <row r="51" spans="3:11" x14ac:dyDescent="0.4">
      <c r="C51" s="15" t="e">
        <v>#VALUE!</v>
      </c>
    </row>
    <row r="52" spans="3:11" x14ac:dyDescent="0.4">
      <c r="K52" s="103"/>
    </row>
    <row r="53" spans="3:11" x14ac:dyDescent="0.4">
      <c r="C53" s="15" t="e">
        <v>#VALUE!</v>
      </c>
      <c r="K53" s="110"/>
    </row>
    <row r="54" spans="3:11" x14ac:dyDescent="0.4">
      <c r="C54" s="15" t="e">
        <v>#VALUE!</v>
      </c>
      <c r="K54" s="109">
        <f>K49-K35</f>
        <v>-389443.49495875835</v>
      </c>
    </row>
    <row r="56" spans="3:11" x14ac:dyDescent="0.4">
      <c r="I56" s="112"/>
      <c r="K56" s="112"/>
    </row>
    <row r="57" spans="3:11" x14ac:dyDescent="0.4">
      <c r="K57" s="115"/>
    </row>
    <row r="59" spans="3:11" x14ac:dyDescent="0.4">
      <c r="K59" s="112"/>
    </row>
    <row r="61" spans="3:11" x14ac:dyDescent="0.4">
      <c r="K61" s="112"/>
    </row>
    <row r="62" spans="3:11" x14ac:dyDescent="0.4">
      <c r="K62" s="112"/>
    </row>
  </sheetData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V96"/>
  <sheetViews>
    <sheetView zoomScaleNormal="100" zoomScaleSheetLayoutView="100" workbookViewId="0">
      <pane xSplit="1" ySplit="9" topLeftCell="B70" activePane="bottomRight" state="frozen"/>
      <selection activeCell="M7" sqref="M7"/>
      <selection pane="topRight" activeCell="M7" sqref="M7"/>
      <selection pane="bottomLeft" activeCell="M7" sqref="M7"/>
      <selection pane="bottomRight" activeCell="C104" sqref="C104"/>
    </sheetView>
  </sheetViews>
  <sheetFormatPr defaultColWidth="10.6640625" defaultRowHeight="12.75" x14ac:dyDescent="0.35"/>
  <cols>
    <col min="1" max="1" width="21.83203125" style="3" customWidth="1"/>
    <col min="2" max="2" width="4.5" style="3" customWidth="1"/>
    <col min="3" max="3" width="19.83203125" style="1" customWidth="1"/>
    <col min="4" max="4" width="4.5" style="1" customWidth="1"/>
    <col min="5" max="5" width="19.83203125" style="1" customWidth="1"/>
    <col min="6" max="6" width="4.5" style="3" customWidth="1"/>
    <col min="7" max="7" width="19.83203125" style="1" customWidth="1"/>
    <col min="8" max="8" width="4.5" style="1" customWidth="1"/>
    <col min="9" max="9" width="19.83203125" style="1" customWidth="1"/>
    <col min="10" max="10" width="4.5" style="1" customWidth="1"/>
    <col min="11" max="11" width="21.58203125" style="1" customWidth="1"/>
    <col min="12" max="12" width="4.5" style="1" customWidth="1"/>
    <col min="13" max="13" width="21.58203125" style="1" customWidth="1"/>
    <col min="14" max="14" width="14.83203125" style="1" customWidth="1"/>
    <col min="15" max="15" width="18.33203125" style="194" bestFit="1" customWidth="1"/>
    <col min="16" max="16" width="18" style="1" customWidth="1"/>
    <col min="17" max="16384" width="10.6640625" style="1"/>
  </cols>
  <sheetData>
    <row r="1" spans="1:22" s="189" customFormat="1" ht="17.25" x14ac:dyDescent="0.45">
      <c r="A1" s="187"/>
      <c r="B1" s="187"/>
      <c r="C1" s="53" t="str">
        <f>COI!A1</f>
        <v>MPEA 2020A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88"/>
      <c r="O1" s="192"/>
    </row>
    <row r="2" spans="1:22" s="58" customFormat="1" ht="17.25" x14ac:dyDescent="0.45">
      <c r="A2" s="59"/>
      <c r="B2" s="59"/>
      <c r="C2" s="116" t="s">
        <v>41</v>
      </c>
      <c r="D2" s="116"/>
      <c r="E2" s="116"/>
      <c r="F2" s="59"/>
      <c r="G2" s="116"/>
      <c r="H2" s="116"/>
      <c r="I2" s="116"/>
      <c r="J2" s="116"/>
      <c r="K2" s="116"/>
      <c r="L2" s="116"/>
      <c r="M2" s="60"/>
      <c r="O2" s="193"/>
    </row>
    <row r="3" spans="1:22" s="58" customFormat="1" ht="15" x14ac:dyDescent="0.4">
      <c r="A3" s="61"/>
      <c r="B3" s="61"/>
      <c r="C3" s="62" t="s">
        <v>112</v>
      </c>
      <c r="D3" s="62"/>
      <c r="E3" s="62"/>
      <c r="F3" s="61"/>
      <c r="G3" s="62"/>
      <c r="H3" s="62"/>
      <c r="I3" s="62"/>
      <c r="J3" s="62"/>
      <c r="K3" s="62"/>
      <c r="L3" s="62"/>
      <c r="M3" s="63"/>
      <c r="O3" s="193"/>
    </row>
    <row r="4" spans="1:22" ht="15" x14ac:dyDescent="0.4">
      <c r="A4" s="8"/>
      <c r="B4" s="8"/>
      <c r="C4" s="14"/>
      <c r="D4" s="14"/>
      <c r="E4" s="14"/>
      <c r="F4" s="8"/>
      <c r="G4" s="14"/>
      <c r="H4" s="14"/>
      <c r="I4" s="14"/>
      <c r="J4" s="14"/>
      <c r="K4" s="14"/>
      <c r="L4" s="14"/>
      <c r="M4" s="4"/>
    </row>
    <row r="5" spans="1:22" ht="13.9" x14ac:dyDescent="0.4">
      <c r="A5" s="41" t="s">
        <v>28</v>
      </c>
      <c r="B5" s="41"/>
      <c r="C5" s="41"/>
      <c r="D5" s="41"/>
      <c r="E5" s="42">
        <v>43907</v>
      </c>
      <c r="F5" s="41"/>
      <c r="G5" s="41"/>
      <c r="H5" s="47"/>
      <c r="I5" s="47"/>
      <c r="J5" s="47"/>
      <c r="K5" s="47"/>
      <c r="L5" s="47"/>
      <c r="M5" s="4"/>
    </row>
    <row r="6" spans="1:22" ht="15" x14ac:dyDescent="0.4">
      <c r="A6" s="8"/>
      <c r="B6" s="8"/>
      <c r="C6" s="14"/>
      <c r="D6" s="14"/>
      <c r="E6" s="14"/>
      <c r="F6" s="8"/>
      <c r="G6" s="14"/>
      <c r="H6" s="14"/>
      <c r="I6" s="14"/>
      <c r="J6" s="14"/>
      <c r="K6" s="14"/>
      <c r="L6" s="14"/>
      <c r="M6" s="4"/>
    </row>
    <row r="7" spans="1:22" ht="15" x14ac:dyDescent="0.4">
      <c r="A7" s="33" t="s">
        <v>25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  <c r="P7" s="8"/>
      <c r="Q7" s="8"/>
      <c r="R7" s="8"/>
      <c r="S7" s="8"/>
      <c r="T7" s="7"/>
      <c r="U7" s="7"/>
      <c r="V7" s="7"/>
    </row>
    <row r="8" spans="1:22" ht="13.9" x14ac:dyDescent="0.4">
      <c r="A8" s="9" t="s">
        <v>26</v>
      </c>
      <c r="B8" s="9"/>
      <c r="C8" s="11" t="s">
        <v>32</v>
      </c>
      <c r="D8" s="11"/>
      <c r="E8" s="10"/>
      <c r="F8" s="11"/>
      <c r="G8" s="11" t="s">
        <v>35</v>
      </c>
      <c r="H8" s="10"/>
      <c r="I8" s="11" t="s">
        <v>37</v>
      </c>
      <c r="J8" s="11"/>
      <c r="K8" s="11"/>
      <c r="L8" s="11"/>
      <c r="M8" s="11" t="s">
        <v>43</v>
      </c>
      <c r="P8" s="48"/>
      <c r="Q8" s="48"/>
      <c r="R8" s="48"/>
      <c r="S8" s="48"/>
      <c r="T8" s="7"/>
      <c r="U8" s="7"/>
      <c r="V8" s="7"/>
    </row>
    <row r="9" spans="1:22" ht="13.9" x14ac:dyDescent="0.4">
      <c r="A9" s="12" t="s">
        <v>27</v>
      </c>
      <c r="B9" s="12"/>
      <c r="C9" s="10" t="s">
        <v>33</v>
      </c>
      <c r="D9" s="10"/>
      <c r="E9" s="10" t="s">
        <v>34</v>
      </c>
      <c r="F9" s="10"/>
      <c r="G9" s="10" t="s">
        <v>36</v>
      </c>
      <c r="H9" s="10"/>
      <c r="I9" s="10" t="s">
        <v>36</v>
      </c>
      <c r="J9" s="10"/>
      <c r="K9" s="10" t="s">
        <v>38</v>
      </c>
      <c r="L9" s="10"/>
      <c r="M9" s="10" t="s">
        <v>38</v>
      </c>
      <c r="P9" s="8"/>
      <c r="Q9" s="8"/>
      <c r="R9" s="8"/>
      <c r="S9" s="8"/>
      <c r="T9" s="7"/>
      <c r="U9" s="7"/>
      <c r="V9" s="7"/>
    </row>
    <row r="10" spans="1:22" ht="13.9" x14ac:dyDescent="0.4">
      <c r="A10" s="8">
        <v>43814</v>
      </c>
      <c r="B10" s="8"/>
      <c r="C10" s="5">
        <f>'Series Detail'!R12</f>
        <v>1374430.75</v>
      </c>
      <c r="D10" s="5"/>
      <c r="E10" s="5">
        <f>'Series Detail'!S12</f>
        <v>58930863.75</v>
      </c>
      <c r="F10" s="8"/>
      <c r="G10" s="5">
        <f>'Series Detail'!T12</f>
        <v>2395569.25</v>
      </c>
      <c r="H10" s="5"/>
      <c r="I10" s="5">
        <f>'Series Detail'!U12</f>
        <v>0</v>
      </c>
      <c r="J10" s="5"/>
      <c r="K10" s="5">
        <f>SUM(C10:J10)</f>
        <v>62700863.75</v>
      </c>
      <c r="L10" s="5"/>
      <c r="M10" s="4"/>
      <c r="P10" s="195"/>
    </row>
    <row r="11" spans="1:22" ht="13.9" x14ac:dyDescent="0.4">
      <c r="A11" s="8">
        <f>EDATE(A10,6)</f>
        <v>43997</v>
      </c>
      <c r="B11" s="8"/>
      <c r="C11" s="5">
        <f>'Series Detail'!R13</f>
        <v>13920132.449999999</v>
      </c>
      <c r="D11" s="5"/>
      <c r="E11" s="5">
        <f>'Series Detail'!S13</f>
        <v>69160799.689999998</v>
      </c>
      <c r="F11" s="8"/>
      <c r="G11" s="5">
        <f>'Series Detail'!T13</f>
        <v>54574867.549999997</v>
      </c>
      <c r="H11" s="5"/>
      <c r="I11" s="5">
        <f>'Series Detail'!U13</f>
        <v>-9710616.6699999999</v>
      </c>
      <c r="J11" s="5"/>
      <c r="K11" s="5">
        <f t="shared" ref="K11:K74" si="0">SUM(C11:J11)</f>
        <v>127945183.02</v>
      </c>
      <c r="L11" s="5"/>
      <c r="M11" s="5">
        <f>+K10+K11</f>
        <v>190646046.76999998</v>
      </c>
      <c r="P11" s="195"/>
    </row>
    <row r="12" spans="1:22" ht="13.9" x14ac:dyDescent="0.4">
      <c r="A12" s="8">
        <f t="shared" ref="A12:A75" si="1">EDATE(A11,6)</f>
        <v>44180</v>
      </c>
      <c r="B12" s="8"/>
      <c r="C12" s="5">
        <f>'Series Detail'!R14</f>
        <v>57141968.600000001</v>
      </c>
      <c r="D12" s="5"/>
      <c r="E12" s="5">
        <f>'Series Detail'!S14</f>
        <v>56248601.25</v>
      </c>
      <c r="F12" s="8"/>
      <c r="G12" s="5">
        <f>'Series Detail'!T14</f>
        <v>12833031.4</v>
      </c>
      <c r="H12" s="5"/>
      <c r="I12" s="5">
        <f>'Series Detail'!U14</f>
        <v>-14251261.449999999</v>
      </c>
      <c r="J12" s="5"/>
      <c r="K12" s="5">
        <f t="shared" si="0"/>
        <v>111972339.8</v>
      </c>
      <c r="L12" s="5"/>
      <c r="M12" s="4"/>
      <c r="P12" s="195"/>
    </row>
    <row r="13" spans="1:22" ht="13.9" x14ac:dyDescent="0.4">
      <c r="A13" s="8">
        <f t="shared" si="1"/>
        <v>44362</v>
      </c>
      <c r="B13" s="8"/>
      <c r="C13" s="5">
        <f>'Series Detail'!R15</f>
        <v>8883792.4000000004</v>
      </c>
      <c r="D13" s="5"/>
      <c r="E13" s="5">
        <f>'Series Detail'!S15</f>
        <v>54911301.25</v>
      </c>
      <c r="F13" s="8"/>
      <c r="G13" s="5">
        <f>'Series Detail'!T15</f>
        <v>38106207.600000001</v>
      </c>
      <c r="H13" s="5"/>
      <c r="I13" s="5">
        <f>'Series Detail'!U15</f>
        <v>0</v>
      </c>
      <c r="J13" s="5"/>
      <c r="K13" s="5">
        <f t="shared" si="0"/>
        <v>101901301.25</v>
      </c>
      <c r="L13" s="5"/>
      <c r="M13" s="5">
        <f>+K12+K13</f>
        <v>213873641.05000001</v>
      </c>
      <c r="P13" s="195"/>
    </row>
    <row r="14" spans="1:22" ht="13.9" x14ac:dyDescent="0.4">
      <c r="A14" s="8">
        <f t="shared" si="1"/>
        <v>44545</v>
      </c>
      <c r="B14" s="8"/>
      <c r="C14" s="5">
        <f>'Series Detail'!R16</f>
        <v>12837848</v>
      </c>
      <c r="D14" s="5"/>
      <c r="E14" s="5">
        <f>'Series Detail'!S16</f>
        <v>54860288.75</v>
      </c>
      <c r="F14" s="8"/>
      <c r="G14" s="5">
        <f>'Series Detail'!T16</f>
        <v>39427152</v>
      </c>
      <c r="H14" s="5"/>
      <c r="I14" s="5">
        <f>'Series Detail'!U16</f>
        <v>0</v>
      </c>
      <c r="J14" s="5"/>
      <c r="K14" s="5">
        <f t="shared" si="0"/>
        <v>107125288.75</v>
      </c>
      <c r="L14" s="5"/>
      <c r="M14" s="4"/>
      <c r="P14" s="195"/>
    </row>
    <row r="15" spans="1:22" ht="13.9" x14ac:dyDescent="0.4">
      <c r="A15" s="8">
        <f t="shared" si="1"/>
        <v>44727</v>
      </c>
      <c r="B15" s="8"/>
      <c r="C15" s="5">
        <f>'Series Detail'!R17</f>
        <v>34882148.700000003</v>
      </c>
      <c r="D15" s="5"/>
      <c r="E15" s="5">
        <f>'Series Detail'!S17</f>
        <v>54806488.75</v>
      </c>
      <c r="F15" s="8"/>
      <c r="G15" s="5">
        <f>'Series Detail'!T17</f>
        <v>56642851.299999997</v>
      </c>
      <c r="H15" s="5"/>
      <c r="I15" s="5">
        <f>'Series Detail'!U17</f>
        <v>0</v>
      </c>
      <c r="J15" s="5"/>
      <c r="K15" s="5">
        <f t="shared" si="0"/>
        <v>146331488.75</v>
      </c>
      <c r="L15" s="5"/>
      <c r="M15" s="5">
        <f>+K14+K15</f>
        <v>253456777.5</v>
      </c>
      <c r="P15" s="195"/>
    </row>
    <row r="16" spans="1:22" ht="13.9" x14ac:dyDescent="0.4">
      <c r="A16" s="8">
        <f t="shared" si="1"/>
        <v>44910</v>
      </c>
      <c r="B16" s="8"/>
      <c r="C16" s="5">
        <f>'Series Detail'!R18</f>
        <v>49201020</v>
      </c>
      <c r="D16" s="5"/>
      <c r="E16" s="5">
        <f>'Series Detail'!S18</f>
        <v>52937805</v>
      </c>
      <c r="F16" s="8"/>
      <c r="G16" s="5">
        <f>'Series Detail'!T18</f>
        <v>40068980</v>
      </c>
      <c r="H16" s="5"/>
      <c r="I16" s="5">
        <f>'Series Detail'!U18</f>
        <v>0</v>
      </c>
      <c r="J16" s="5"/>
      <c r="K16" s="5">
        <f t="shared" si="0"/>
        <v>142207805</v>
      </c>
      <c r="L16" s="5"/>
      <c r="M16" s="4"/>
      <c r="P16" s="195"/>
    </row>
    <row r="17" spans="1:16" ht="13.9" x14ac:dyDescent="0.4">
      <c r="A17" s="8">
        <f t="shared" si="1"/>
        <v>45092</v>
      </c>
      <c r="B17" s="8"/>
      <c r="C17" s="5">
        <f>'Series Detail'!R19</f>
        <v>28232993.099999998</v>
      </c>
      <c r="D17" s="5"/>
      <c r="E17" s="5">
        <f>'Series Detail'!S19</f>
        <v>51958630</v>
      </c>
      <c r="F17" s="8"/>
      <c r="G17" s="5">
        <f>'Series Detail'!T19</f>
        <v>21677006.900000002</v>
      </c>
      <c r="H17" s="5"/>
      <c r="I17" s="5">
        <f>'Series Detail'!U19</f>
        <v>0</v>
      </c>
      <c r="J17" s="5"/>
      <c r="K17" s="5">
        <f t="shared" si="0"/>
        <v>101868630</v>
      </c>
      <c r="L17" s="5"/>
      <c r="M17" s="5">
        <f>+K16+K17</f>
        <v>244076435</v>
      </c>
      <c r="P17" s="195"/>
    </row>
    <row r="18" spans="1:16" ht="13.9" x14ac:dyDescent="0.4">
      <c r="A18" s="8">
        <f t="shared" si="1"/>
        <v>45275</v>
      </c>
      <c r="B18" s="8"/>
      <c r="C18" s="5">
        <f>'Series Detail'!R20</f>
        <v>19319366.600000001</v>
      </c>
      <c r="D18" s="5"/>
      <c r="E18" s="5">
        <f>'Series Detail'!S20</f>
        <v>51194100</v>
      </c>
      <c r="F18" s="8"/>
      <c r="G18" s="5">
        <f>'Series Detail'!T20</f>
        <v>97320633.400000006</v>
      </c>
      <c r="H18" s="5"/>
      <c r="I18" s="5">
        <f>'Series Detail'!U20</f>
        <v>0</v>
      </c>
      <c r="J18" s="5"/>
      <c r="K18" s="5">
        <f t="shared" si="0"/>
        <v>167834100</v>
      </c>
      <c r="L18" s="5"/>
      <c r="M18" s="4"/>
      <c r="P18" s="195"/>
    </row>
    <row r="19" spans="1:16" ht="13.9" x14ac:dyDescent="0.4">
      <c r="A19" s="8">
        <f t="shared" si="1"/>
        <v>45458</v>
      </c>
      <c r="B19" s="8"/>
      <c r="C19" s="5">
        <f>'Series Detail'!R21</f>
        <v>20632146.500000004</v>
      </c>
      <c r="D19" s="5"/>
      <c r="E19" s="5">
        <f>'Series Detail'!S21</f>
        <v>51064987.5</v>
      </c>
      <c r="F19" s="8"/>
      <c r="G19" s="5">
        <f>'Series Detail'!T21</f>
        <v>30177853.5</v>
      </c>
      <c r="H19" s="5"/>
      <c r="I19" s="5">
        <f>'Series Detail'!U21</f>
        <v>0</v>
      </c>
      <c r="J19" s="5"/>
      <c r="K19" s="5">
        <f t="shared" si="0"/>
        <v>101874987.5</v>
      </c>
      <c r="L19" s="5"/>
      <c r="M19" s="5">
        <f>+K18+K19</f>
        <v>269709087.5</v>
      </c>
      <c r="P19" s="195"/>
    </row>
    <row r="20" spans="1:16" ht="13.9" x14ac:dyDescent="0.4">
      <c r="A20" s="8">
        <f t="shared" si="1"/>
        <v>45641</v>
      </c>
      <c r="B20" s="8"/>
      <c r="C20" s="5">
        <f>'Series Detail'!R22</f>
        <v>17916601.25</v>
      </c>
      <c r="D20" s="5"/>
      <c r="E20" s="5">
        <f>'Series Detail'!S22</f>
        <v>50219282.5</v>
      </c>
      <c r="F20" s="8"/>
      <c r="G20" s="5">
        <f>'Series Detail'!T22</f>
        <v>92468398.75</v>
      </c>
      <c r="H20" s="5"/>
      <c r="I20" s="5">
        <f>'Series Detail'!U22</f>
        <v>0</v>
      </c>
      <c r="J20" s="5"/>
      <c r="K20" s="5">
        <f t="shared" si="0"/>
        <v>160604282.5</v>
      </c>
      <c r="L20" s="5"/>
      <c r="M20" s="4"/>
      <c r="P20" s="195"/>
    </row>
    <row r="21" spans="1:16" ht="13.9" x14ac:dyDescent="0.4">
      <c r="A21" s="8">
        <f t="shared" si="1"/>
        <v>45823</v>
      </c>
      <c r="B21" s="8"/>
      <c r="C21" s="5">
        <f>'Series Detail'!R23</f>
        <v>24303549.200000003</v>
      </c>
      <c r="D21" s="5"/>
      <c r="E21" s="5">
        <f>'Series Detail'!S23</f>
        <v>50082882.5</v>
      </c>
      <c r="F21" s="8"/>
      <c r="G21" s="5">
        <f>'Series Detail'!T23</f>
        <v>34711450.800000004</v>
      </c>
      <c r="H21" s="5"/>
      <c r="I21" s="5">
        <f>'Series Detail'!U23</f>
        <v>0</v>
      </c>
      <c r="J21" s="5"/>
      <c r="K21" s="5">
        <f t="shared" si="0"/>
        <v>109097882.5</v>
      </c>
      <c r="L21" s="5"/>
      <c r="M21" s="5">
        <f>+K20+K21</f>
        <v>269702165</v>
      </c>
      <c r="P21" s="195"/>
    </row>
    <row r="22" spans="1:16" ht="13.9" x14ac:dyDescent="0.4">
      <c r="A22" s="8">
        <f t="shared" si="1"/>
        <v>46006</v>
      </c>
      <c r="B22" s="8"/>
      <c r="C22" s="5">
        <f>'Series Detail'!R24</f>
        <v>15031644</v>
      </c>
      <c r="D22" s="5"/>
      <c r="E22" s="5">
        <f>'Series Detail'!S24</f>
        <v>48988900</v>
      </c>
      <c r="F22" s="8"/>
      <c r="G22" s="5">
        <f>'Series Detail'!T24</f>
        <v>60213356</v>
      </c>
      <c r="H22" s="5"/>
      <c r="I22" s="5">
        <f>'Series Detail'!U24</f>
        <v>0</v>
      </c>
      <c r="J22" s="5"/>
      <c r="K22" s="5">
        <f t="shared" si="0"/>
        <v>124233900</v>
      </c>
      <c r="L22" s="5"/>
      <c r="M22" s="4"/>
      <c r="P22" s="195"/>
    </row>
    <row r="23" spans="1:16" ht="13.9" x14ac:dyDescent="0.4">
      <c r="A23" s="8">
        <f t="shared" si="1"/>
        <v>46188</v>
      </c>
      <c r="B23" s="8"/>
      <c r="C23" s="5">
        <f>'Series Detail'!R25</f>
        <v>46047485.400000006</v>
      </c>
      <c r="D23" s="5"/>
      <c r="E23" s="5">
        <f>'Series Detail'!S25</f>
        <v>48704687.5</v>
      </c>
      <c r="F23" s="8"/>
      <c r="G23" s="5">
        <f>'Series Detail'!T25</f>
        <v>51852514.599999994</v>
      </c>
      <c r="H23" s="5"/>
      <c r="I23" s="5">
        <f>'Series Detail'!U25</f>
        <v>0</v>
      </c>
      <c r="J23" s="5"/>
      <c r="K23" s="5">
        <f t="shared" si="0"/>
        <v>146604687.5</v>
      </c>
      <c r="L23" s="5"/>
      <c r="M23" s="5">
        <f>+K22+K23</f>
        <v>270838587.5</v>
      </c>
      <c r="P23" s="195"/>
    </row>
    <row r="24" spans="1:16" ht="13.9" x14ac:dyDescent="0.4">
      <c r="A24" s="8">
        <f t="shared" si="1"/>
        <v>46371</v>
      </c>
      <c r="B24" s="8"/>
      <c r="C24" s="5">
        <f>'Series Detail'!R26</f>
        <v>71834290.400000006</v>
      </c>
      <c r="D24" s="5"/>
      <c r="E24" s="5">
        <f>'Series Detail'!S26</f>
        <v>47495200</v>
      </c>
      <c r="F24" s="8"/>
      <c r="G24" s="5">
        <f>'Series Detail'!T26</f>
        <v>39230709.600000001</v>
      </c>
      <c r="H24" s="5"/>
      <c r="I24" s="5">
        <f>'Series Detail'!U26</f>
        <v>0</v>
      </c>
      <c r="J24" s="5"/>
      <c r="K24" s="5">
        <f t="shared" si="0"/>
        <v>158560200</v>
      </c>
      <c r="L24" s="5"/>
      <c r="M24" s="4"/>
      <c r="P24" s="195"/>
    </row>
    <row r="25" spans="1:16" ht="13.9" x14ac:dyDescent="0.4">
      <c r="A25" s="8">
        <f t="shared" si="1"/>
        <v>46553</v>
      </c>
      <c r="B25" s="8"/>
      <c r="C25" s="5">
        <f>'Series Detail'!R27</f>
        <v>36434934.099999994</v>
      </c>
      <c r="D25" s="5"/>
      <c r="E25" s="5">
        <f>'Series Detail'!S27</f>
        <v>45745750</v>
      </c>
      <c r="F25" s="8"/>
      <c r="G25" s="5">
        <f>'Series Detail'!T27</f>
        <v>43330065.899999999</v>
      </c>
      <c r="H25" s="5"/>
      <c r="I25" s="5">
        <f>'Series Detail'!U27</f>
        <v>0</v>
      </c>
      <c r="J25" s="5"/>
      <c r="K25" s="5">
        <f t="shared" si="0"/>
        <v>125510750</v>
      </c>
      <c r="L25" s="5"/>
      <c r="M25" s="5">
        <f>+K24+K25</f>
        <v>284070950</v>
      </c>
      <c r="P25" s="195"/>
    </row>
    <row r="26" spans="1:16" ht="13.9" x14ac:dyDescent="0.4">
      <c r="A26" s="8">
        <f t="shared" si="1"/>
        <v>46736</v>
      </c>
      <c r="B26" s="8"/>
      <c r="C26" s="5">
        <f>'Series Detail'!R28</f>
        <v>112070000</v>
      </c>
      <c r="D26" s="5"/>
      <c r="E26" s="5">
        <f>'Series Detail'!S28</f>
        <v>45394712.5</v>
      </c>
      <c r="F26" s="8"/>
      <c r="G26" s="5">
        <f>'Series Detail'!T28</f>
        <v>0</v>
      </c>
      <c r="H26" s="5"/>
      <c r="I26" s="5">
        <f>'Series Detail'!U28</f>
        <v>0</v>
      </c>
      <c r="J26" s="5"/>
      <c r="K26" s="5">
        <f t="shared" si="0"/>
        <v>157464712.5</v>
      </c>
      <c r="L26" s="5"/>
      <c r="M26" s="4"/>
      <c r="P26" s="195"/>
    </row>
    <row r="27" spans="1:16" ht="13.9" x14ac:dyDescent="0.4">
      <c r="A27" s="8">
        <f t="shared" si="1"/>
        <v>46919</v>
      </c>
      <c r="B27" s="8"/>
      <c r="C27" s="5">
        <f>'Series Detail'!R29</f>
        <v>15902687.300000001</v>
      </c>
      <c r="D27" s="5"/>
      <c r="E27" s="5">
        <f>'Series Detail'!S29</f>
        <v>42578375</v>
      </c>
      <c r="F27" s="8"/>
      <c r="G27" s="5">
        <f>'Series Detail'!T29</f>
        <v>83087312.700000003</v>
      </c>
      <c r="H27" s="5"/>
      <c r="I27" s="5">
        <f>'Series Detail'!U29</f>
        <v>0</v>
      </c>
      <c r="J27" s="5"/>
      <c r="K27" s="5">
        <f t="shared" si="0"/>
        <v>141568375</v>
      </c>
      <c r="L27" s="5"/>
      <c r="M27" s="5">
        <f>+K26+K27</f>
        <v>299033087.5</v>
      </c>
      <c r="P27" s="195"/>
    </row>
    <row r="28" spans="1:16" ht="13.9" x14ac:dyDescent="0.4">
      <c r="A28" s="8">
        <f t="shared" si="1"/>
        <v>47102</v>
      </c>
      <c r="B28" s="8"/>
      <c r="C28" s="5">
        <f>'Series Detail'!R30</f>
        <v>133380000</v>
      </c>
      <c r="D28" s="5"/>
      <c r="E28" s="5">
        <f>'Series Detail'!S30</f>
        <v>42413512.5</v>
      </c>
      <c r="F28" s="8"/>
      <c r="G28" s="5">
        <f>'Series Detail'!T30</f>
        <v>0</v>
      </c>
      <c r="H28" s="5"/>
      <c r="I28" s="5">
        <f>'Series Detail'!U30</f>
        <v>0</v>
      </c>
      <c r="J28" s="5"/>
      <c r="K28" s="5">
        <f t="shared" si="0"/>
        <v>175793512.5</v>
      </c>
      <c r="L28" s="5"/>
      <c r="M28" s="4"/>
      <c r="P28" s="195"/>
    </row>
    <row r="29" spans="1:16" ht="13.9" x14ac:dyDescent="0.4">
      <c r="A29" s="8">
        <f t="shared" si="1"/>
        <v>47284</v>
      </c>
      <c r="B29" s="8"/>
      <c r="C29" s="5">
        <f>'Series Detail'!R31</f>
        <v>15495321.300000001</v>
      </c>
      <c r="D29" s="5"/>
      <c r="E29" s="5">
        <f>'Series Detail'!S31</f>
        <v>39063612.5</v>
      </c>
      <c r="F29" s="8"/>
      <c r="G29" s="5">
        <f>'Series Detail'!T31</f>
        <v>83719678.700000003</v>
      </c>
      <c r="H29" s="5"/>
      <c r="I29" s="5">
        <f>'Series Detail'!U31</f>
        <v>0</v>
      </c>
      <c r="J29" s="5"/>
      <c r="K29" s="5">
        <f t="shared" si="0"/>
        <v>138278612.5</v>
      </c>
      <c r="L29" s="5"/>
      <c r="M29" s="5">
        <f>+K28+K29</f>
        <v>314072125</v>
      </c>
      <c r="P29" s="195"/>
    </row>
    <row r="30" spans="1:16" ht="13.9" x14ac:dyDescent="0.4">
      <c r="A30" s="8">
        <f t="shared" si="1"/>
        <v>47467</v>
      </c>
      <c r="B30" s="8"/>
      <c r="C30" s="5">
        <f>'Series Detail'!R32</f>
        <v>6595539.0499999998</v>
      </c>
      <c r="D30" s="5"/>
      <c r="E30" s="5">
        <f>'Series Detail'!S32</f>
        <v>38892562.5</v>
      </c>
      <c r="F30" s="8"/>
      <c r="G30" s="5">
        <f>'Series Detail'!T32</f>
        <v>155099460.94999999</v>
      </c>
      <c r="H30" s="5"/>
      <c r="I30" s="5">
        <f>'Series Detail'!U32</f>
        <v>0</v>
      </c>
      <c r="J30" s="5"/>
      <c r="K30" s="5">
        <f t="shared" si="0"/>
        <v>200587562.5</v>
      </c>
      <c r="L30" s="5"/>
      <c r="M30" s="4"/>
      <c r="P30" s="195"/>
    </row>
    <row r="31" spans="1:16" ht="13.9" x14ac:dyDescent="0.4">
      <c r="A31" s="8">
        <f t="shared" si="1"/>
        <v>47649</v>
      </c>
      <c r="B31" s="8"/>
      <c r="C31" s="5">
        <f>'Series Detail'!R33</f>
        <v>3486095.6</v>
      </c>
      <c r="D31" s="5"/>
      <c r="E31" s="5">
        <f>'Series Detail'!S33</f>
        <v>38892562.5</v>
      </c>
      <c r="F31" s="8"/>
      <c r="G31" s="5">
        <f>'Series Detail'!T33</f>
        <v>87108904.400000006</v>
      </c>
      <c r="H31" s="5"/>
      <c r="I31" s="5">
        <f>'Series Detail'!U33</f>
        <v>0</v>
      </c>
      <c r="J31" s="5"/>
      <c r="K31" s="5">
        <f t="shared" si="0"/>
        <v>129487562.5</v>
      </c>
      <c r="L31" s="5"/>
      <c r="M31" s="5">
        <f>+K30+K31</f>
        <v>330075125</v>
      </c>
      <c r="P31" s="195"/>
    </row>
    <row r="32" spans="1:16" ht="13.9" x14ac:dyDescent="0.4">
      <c r="A32" s="8">
        <f t="shared" si="1"/>
        <v>47832</v>
      </c>
      <c r="B32" s="8"/>
      <c r="C32" s="5">
        <f>'Series Detail'!R34</f>
        <v>12504528.5</v>
      </c>
      <c r="D32" s="5"/>
      <c r="E32" s="5">
        <f>'Series Detail'!S34</f>
        <v>38892562.5</v>
      </c>
      <c r="F32" s="8"/>
      <c r="G32" s="5">
        <f>'Series Detail'!T34</f>
        <v>155825471.5</v>
      </c>
      <c r="H32" s="5"/>
      <c r="I32" s="5">
        <f>'Series Detail'!U34</f>
        <v>0</v>
      </c>
      <c r="J32" s="5"/>
      <c r="K32" s="5">
        <f t="shared" si="0"/>
        <v>207222562.5</v>
      </c>
      <c r="L32" s="5"/>
      <c r="M32" s="4"/>
      <c r="P32" s="195"/>
    </row>
    <row r="33" spans="1:16" ht="13.9" x14ac:dyDescent="0.4">
      <c r="A33" s="8">
        <f t="shared" si="1"/>
        <v>48014</v>
      </c>
      <c r="B33" s="8"/>
      <c r="C33" s="5">
        <f>'Series Detail'!R35</f>
        <v>3716425.6</v>
      </c>
      <c r="D33" s="5"/>
      <c r="E33" s="5">
        <f>'Series Detail'!S35</f>
        <v>38726687.5</v>
      </c>
      <c r="F33" s="8"/>
      <c r="G33" s="5">
        <f>'Series Detail'!T35</f>
        <v>92413574.400000006</v>
      </c>
      <c r="H33" s="5"/>
      <c r="I33" s="5">
        <f>'Series Detail'!U35</f>
        <v>0</v>
      </c>
      <c r="J33" s="5"/>
      <c r="K33" s="5">
        <f t="shared" si="0"/>
        <v>134856687.5</v>
      </c>
      <c r="L33" s="5"/>
      <c r="M33" s="5">
        <f>+K32+K33</f>
        <v>342079250</v>
      </c>
      <c r="P33" s="195"/>
    </row>
    <row r="34" spans="1:16" ht="13.9" x14ac:dyDescent="0.4">
      <c r="A34" s="8">
        <f t="shared" si="1"/>
        <v>48197</v>
      </c>
      <c r="B34" s="8"/>
      <c r="C34" s="5">
        <f>'Series Detail'!R36</f>
        <v>9249365.4499999993</v>
      </c>
      <c r="D34" s="5"/>
      <c r="E34" s="5">
        <f>'Series Detail'!S36</f>
        <v>40136438.75</v>
      </c>
      <c r="F34" s="8"/>
      <c r="G34" s="5">
        <f>'Series Detail'!T36</f>
        <v>156470634.55000001</v>
      </c>
      <c r="H34" s="5"/>
      <c r="I34" s="5">
        <f>'Series Detail'!U36</f>
        <v>0</v>
      </c>
      <c r="J34" s="5"/>
      <c r="K34" s="5">
        <f t="shared" si="0"/>
        <v>205856438.75</v>
      </c>
      <c r="L34" s="5"/>
      <c r="M34" s="4"/>
      <c r="P34" s="195"/>
    </row>
    <row r="35" spans="1:16" ht="13.9" x14ac:dyDescent="0.4">
      <c r="A35" s="8">
        <f t="shared" si="1"/>
        <v>48380</v>
      </c>
      <c r="B35" s="8"/>
      <c r="C35" s="5">
        <f>'Series Detail'!R37</f>
        <v>3401631.2</v>
      </c>
      <c r="D35" s="5"/>
      <c r="E35" s="5">
        <f>'Series Detail'!S37</f>
        <v>40035813.75</v>
      </c>
      <c r="F35" s="8"/>
      <c r="G35" s="5">
        <f>'Series Detail'!T37</f>
        <v>92773368.799999997</v>
      </c>
      <c r="H35" s="5"/>
      <c r="I35" s="5">
        <f>'Series Detail'!U37</f>
        <v>0</v>
      </c>
      <c r="J35" s="5"/>
      <c r="K35" s="5">
        <f t="shared" si="0"/>
        <v>136210813.75</v>
      </c>
      <c r="L35" s="5"/>
      <c r="M35" s="5">
        <f>+K34+K35</f>
        <v>342067252.5</v>
      </c>
      <c r="P35" s="195"/>
    </row>
    <row r="36" spans="1:16" ht="13.9" x14ac:dyDescent="0.4">
      <c r="A36" s="8">
        <f t="shared" si="1"/>
        <v>48563</v>
      </c>
      <c r="B36" s="8"/>
      <c r="C36" s="5">
        <f>'Series Detail'!R38</f>
        <v>8868731.25</v>
      </c>
      <c r="D36" s="5"/>
      <c r="E36" s="5">
        <f>'Series Detail'!S38</f>
        <v>40023688.75</v>
      </c>
      <c r="F36" s="8"/>
      <c r="G36" s="5">
        <f>'Series Detail'!T38</f>
        <v>157046268.75</v>
      </c>
      <c r="H36" s="5"/>
      <c r="I36" s="5">
        <f>'Series Detail'!U38</f>
        <v>0</v>
      </c>
      <c r="J36" s="5"/>
      <c r="K36" s="5">
        <f t="shared" si="0"/>
        <v>205938688.75</v>
      </c>
      <c r="L36" s="5"/>
      <c r="M36" s="4"/>
      <c r="P36" s="195"/>
    </row>
    <row r="37" spans="1:16" ht="13.9" x14ac:dyDescent="0.4">
      <c r="A37" s="8">
        <f t="shared" si="1"/>
        <v>48745</v>
      </c>
      <c r="B37" s="8"/>
      <c r="C37" s="5">
        <f>'Series Detail'!R39</f>
        <v>3130112.8</v>
      </c>
      <c r="D37" s="5"/>
      <c r="E37" s="5">
        <f>'Series Detail'!S39</f>
        <v>39918188.75</v>
      </c>
      <c r="F37" s="8"/>
      <c r="G37" s="5">
        <f>'Series Detail'!T39</f>
        <v>93094887.200000003</v>
      </c>
      <c r="H37" s="5"/>
      <c r="I37" s="5">
        <f>'Series Detail'!U39</f>
        <v>0</v>
      </c>
      <c r="J37" s="5"/>
      <c r="K37" s="5">
        <f t="shared" si="0"/>
        <v>136143188.75</v>
      </c>
      <c r="L37" s="5"/>
      <c r="M37" s="5">
        <f>+K36+K37</f>
        <v>342081877.5</v>
      </c>
      <c r="P37" s="195"/>
    </row>
    <row r="38" spans="1:16" ht="13.9" x14ac:dyDescent="0.4">
      <c r="A38" s="8">
        <f t="shared" si="1"/>
        <v>48928</v>
      </c>
      <c r="B38" s="8"/>
      <c r="C38" s="5">
        <f>'Series Detail'!R40</f>
        <v>8542775.0500000007</v>
      </c>
      <c r="D38" s="5"/>
      <c r="E38" s="5">
        <f>'Series Detail'!S40</f>
        <v>39904813.75</v>
      </c>
      <c r="F38" s="8"/>
      <c r="G38" s="5">
        <f>'Series Detail'!T40</f>
        <v>157557224.94999999</v>
      </c>
      <c r="H38" s="5"/>
      <c r="I38" s="5">
        <f>'Series Detail'!U40</f>
        <v>0</v>
      </c>
      <c r="J38" s="5"/>
      <c r="K38" s="5">
        <f t="shared" si="0"/>
        <v>206004813.75</v>
      </c>
      <c r="L38" s="5"/>
      <c r="M38" s="4"/>
      <c r="P38" s="195"/>
    </row>
    <row r="39" spans="1:16" ht="13.9" x14ac:dyDescent="0.4">
      <c r="A39" s="8">
        <f t="shared" si="1"/>
        <v>49110</v>
      </c>
      <c r="B39" s="8"/>
      <c r="C39" s="5">
        <f>'Series Detail'!R41</f>
        <v>2889956.6</v>
      </c>
      <c r="D39" s="5"/>
      <c r="E39" s="5">
        <f>'Series Detail'!S41</f>
        <v>39794688.75</v>
      </c>
      <c r="F39" s="8"/>
      <c r="G39" s="5">
        <f>'Series Detail'!T41</f>
        <v>93380043.400000006</v>
      </c>
      <c r="H39" s="5"/>
      <c r="I39" s="5">
        <f>'Series Detail'!U41</f>
        <v>0</v>
      </c>
      <c r="J39" s="5"/>
      <c r="K39" s="5">
        <f t="shared" si="0"/>
        <v>136064688.75</v>
      </c>
      <c r="L39" s="5"/>
      <c r="M39" s="5">
        <f>+K38+K39</f>
        <v>342069502.5</v>
      </c>
      <c r="P39" s="195"/>
    </row>
    <row r="40" spans="1:16" ht="13.9" x14ac:dyDescent="0.4">
      <c r="A40" s="8">
        <f t="shared" si="1"/>
        <v>49293</v>
      </c>
      <c r="B40" s="8"/>
      <c r="C40" s="5">
        <f>'Series Detail'!R42</f>
        <v>8301795.1500000004</v>
      </c>
      <c r="D40" s="5"/>
      <c r="E40" s="5">
        <f>'Series Detail'!S42</f>
        <v>39780188.75</v>
      </c>
      <c r="F40" s="8"/>
      <c r="G40" s="5">
        <f>'Series Detail'!T42</f>
        <v>158013204.84999999</v>
      </c>
      <c r="H40" s="5"/>
      <c r="I40" s="5">
        <f>'Series Detail'!U42</f>
        <v>0</v>
      </c>
      <c r="J40" s="5"/>
      <c r="K40" s="5">
        <f t="shared" si="0"/>
        <v>206095188.75</v>
      </c>
      <c r="L40" s="5"/>
      <c r="M40" s="4"/>
      <c r="P40" s="195"/>
    </row>
    <row r="41" spans="1:16" ht="13.9" x14ac:dyDescent="0.4">
      <c r="A41" s="8">
        <f t="shared" si="1"/>
        <v>49475</v>
      </c>
      <c r="B41" s="8"/>
      <c r="C41" s="5">
        <f>'Series Detail'!R43</f>
        <v>2685421.2</v>
      </c>
      <c r="D41" s="5"/>
      <c r="E41" s="5">
        <f>'Series Detail'!S43</f>
        <v>39664688.75</v>
      </c>
      <c r="F41" s="8"/>
      <c r="G41" s="5">
        <f>'Series Detail'!T43</f>
        <v>93634578.799999997</v>
      </c>
      <c r="H41" s="5"/>
      <c r="I41" s="5">
        <f>'Series Detail'!U43</f>
        <v>0</v>
      </c>
      <c r="J41" s="5"/>
      <c r="K41" s="5">
        <f t="shared" si="0"/>
        <v>135984688.75</v>
      </c>
      <c r="L41" s="5"/>
      <c r="M41" s="5">
        <f>+K40+K41</f>
        <v>342079877.5</v>
      </c>
      <c r="P41" s="195"/>
    </row>
    <row r="42" spans="1:16" ht="13.9" x14ac:dyDescent="0.4">
      <c r="A42" s="8">
        <f t="shared" si="1"/>
        <v>49658</v>
      </c>
      <c r="B42" s="8"/>
      <c r="C42" s="5">
        <f>'Series Detail'!R44</f>
        <v>6555709.0499999998</v>
      </c>
      <c r="D42" s="5"/>
      <c r="E42" s="5">
        <f>'Series Detail'!S44</f>
        <v>39648938.75</v>
      </c>
      <c r="F42" s="8"/>
      <c r="G42" s="5">
        <f>'Series Detail'!T44</f>
        <v>159959290.94999999</v>
      </c>
      <c r="H42" s="5"/>
      <c r="I42" s="5">
        <f>'Series Detail'!U44</f>
        <v>0</v>
      </c>
      <c r="J42" s="5"/>
      <c r="K42" s="5">
        <f t="shared" si="0"/>
        <v>206163938.75</v>
      </c>
      <c r="L42" s="5"/>
      <c r="M42" s="4"/>
      <c r="P42" s="195"/>
    </row>
    <row r="43" spans="1:16" ht="13.9" x14ac:dyDescent="0.4">
      <c r="A43" s="8">
        <f t="shared" si="1"/>
        <v>49841</v>
      </c>
      <c r="B43" s="8"/>
      <c r="C43" s="5">
        <f>'Series Detail'!R45</f>
        <v>2514592.7999999998</v>
      </c>
      <c r="D43" s="5"/>
      <c r="E43" s="5">
        <f>'Series Detail'!S45</f>
        <v>39533396.25</v>
      </c>
      <c r="F43" s="8"/>
      <c r="G43" s="5">
        <f>'Series Detail'!T45</f>
        <v>93860407.200000003</v>
      </c>
      <c r="H43" s="5"/>
      <c r="I43" s="5">
        <f>'Series Detail'!U45</f>
        <v>0</v>
      </c>
      <c r="J43" s="5"/>
      <c r="K43" s="5">
        <f t="shared" si="0"/>
        <v>135908396.25</v>
      </c>
      <c r="L43" s="5"/>
      <c r="M43" s="5">
        <f>+K42+K43</f>
        <v>342072335</v>
      </c>
      <c r="P43" s="195"/>
    </row>
    <row r="44" spans="1:16" ht="13.9" x14ac:dyDescent="0.4">
      <c r="A44" s="8">
        <f t="shared" si="1"/>
        <v>50024</v>
      </c>
      <c r="B44" s="8"/>
      <c r="C44" s="5">
        <f>'Series Detail'!R46</f>
        <v>6338153.4000000004</v>
      </c>
      <c r="D44" s="5"/>
      <c r="E44" s="5">
        <f>'Series Detail'!S46</f>
        <v>39516271.25</v>
      </c>
      <c r="F44" s="8"/>
      <c r="G44" s="5">
        <f>'Series Detail'!T46</f>
        <v>160396846.59999999</v>
      </c>
      <c r="H44" s="5"/>
      <c r="I44" s="5">
        <f>'Series Detail'!U46</f>
        <v>0</v>
      </c>
      <c r="J44" s="5"/>
      <c r="K44" s="5">
        <f t="shared" si="0"/>
        <v>206251271.25</v>
      </c>
      <c r="L44" s="5"/>
      <c r="M44" s="4"/>
      <c r="P44" s="195"/>
    </row>
    <row r="45" spans="1:16" ht="13.9" x14ac:dyDescent="0.4">
      <c r="A45" s="8">
        <f t="shared" si="1"/>
        <v>50206</v>
      </c>
      <c r="B45" s="8"/>
      <c r="C45" s="5">
        <f>'Series Detail'!R47</f>
        <v>2368643.7999999998</v>
      </c>
      <c r="D45" s="5"/>
      <c r="E45" s="5">
        <f>'Series Detail'!S47</f>
        <v>39395476.25</v>
      </c>
      <c r="F45" s="8"/>
      <c r="G45" s="5">
        <f>'Series Detail'!T47</f>
        <v>94061356.200000003</v>
      </c>
      <c r="H45" s="5"/>
      <c r="I45" s="5">
        <f>'Series Detail'!U47</f>
        <v>0</v>
      </c>
      <c r="J45" s="5"/>
      <c r="K45" s="5">
        <f t="shared" si="0"/>
        <v>135825476.25</v>
      </c>
      <c r="L45" s="5"/>
      <c r="M45" s="5">
        <f>+K44+K45</f>
        <v>342076747.5</v>
      </c>
      <c r="P45" s="195"/>
    </row>
    <row r="46" spans="1:16" ht="13.9" x14ac:dyDescent="0.4">
      <c r="A46" s="8">
        <f t="shared" si="1"/>
        <v>50389</v>
      </c>
      <c r="B46" s="8"/>
      <c r="C46" s="5">
        <f>'Series Detail'!R48</f>
        <v>6159404.5499999998</v>
      </c>
      <c r="D46" s="5"/>
      <c r="E46" s="5">
        <f>'Series Detail'!S48</f>
        <v>39376976.25</v>
      </c>
      <c r="F46" s="8"/>
      <c r="G46" s="5">
        <f>'Series Detail'!T48</f>
        <v>160795595.44999999</v>
      </c>
      <c r="H46" s="5"/>
      <c r="I46" s="5">
        <f>'Series Detail'!U48</f>
        <v>0</v>
      </c>
      <c r="J46" s="5"/>
      <c r="K46" s="5">
        <f t="shared" si="0"/>
        <v>206331976.25</v>
      </c>
      <c r="L46" s="5"/>
      <c r="M46" s="4"/>
      <c r="P46" s="195"/>
    </row>
    <row r="47" spans="1:16" ht="13.9" x14ac:dyDescent="0.4">
      <c r="A47" s="8">
        <f t="shared" si="1"/>
        <v>50571</v>
      </c>
      <c r="B47" s="8"/>
      <c r="C47" s="5">
        <f>'Series Detail'!R49</f>
        <v>2248746.6</v>
      </c>
      <c r="D47" s="5"/>
      <c r="E47" s="5">
        <f>'Series Detail'!S49</f>
        <v>39250928.75</v>
      </c>
      <c r="F47" s="8"/>
      <c r="G47" s="5">
        <f>'Series Detail'!T49</f>
        <v>94241253.400000006</v>
      </c>
      <c r="H47" s="5"/>
      <c r="I47" s="5">
        <f>'Series Detail'!U49</f>
        <v>0</v>
      </c>
      <c r="J47" s="5"/>
      <c r="K47" s="5">
        <f t="shared" si="0"/>
        <v>135740928.75</v>
      </c>
      <c r="L47" s="5"/>
      <c r="M47" s="5">
        <f>+K46+K47</f>
        <v>342072905</v>
      </c>
      <c r="P47" s="195"/>
    </row>
    <row r="48" spans="1:16" ht="13.9" x14ac:dyDescent="0.4">
      <c r="A48" s="8">
        <f t="shared" si="1"/>
        <v>50754</v>
      </c>
      <c r="B48" s="8"/>
      <c r="C48" s="5">
        <f>'Series Detail'!R50</f>
        <v>5990942.8499999996</v>
      </c>
      <c r="D48" s="5"/>
      <c r="E48" s="5">
        <f>'Series Detail'!S50</f>
        <v>39230928.75</v>
      </c>
      <c r="F48" s="8"/>
      <c r="G48" s="5">
        <f>'Series Detail'!T50</f>
        <v>161204057.14999998</v>
      </c>
      <c r="H48" s="5"/>
      <c r="I48" s="5">
        <f>'Series Detail'!U50</f>
        <v>0</v>
      </c>
      <c r="J48" s="5"/>
      <c r="K48" s="5">
        <f t="shared" si="0"/>
        <v>206425928.74999997</v>
      </c>
      <c r="L48" s="5"/>
      <c r="M48" s="4"/>
      <c r="P48" s="195"/>
    </row>
    <row r="49" spans="1:16" ht="13.9" x14ac:dyDescent="0.4">
      <c r="A49" s="8">
        <f t="shared" si="1"/>
        <v>50936</v>
      </c>
      <c r="B49" s="8"/>
      <c r="C49" s="5">
        <f>'Series Detail'!R51</f>
        <v>2154901.2000000002</v>
      </c>
      <c r="D49" s="5"/>
      <c r="E49" s="5">
        <f>'Series Detail'!S51</f>
        <v>39096290</v>
      </c>
      <c r="F49" s="8"/>
      <c r="G49" s="5">
        <f>'Series Detail'!T51</f>
        <v>94400098.799999997</v>
      </c>
      <c r="H49" s="5"/>
      <c r="I49" s="5">
        <f>'Series Detail'!U51</f>
        <v>0</v>
      </c>
      <c r="J49" s="5"/>
      <c r="K49" s="5">
        <f t="shared" si="0"/>
        <v>135651290</v>
      </c>
      <c r="L49" s="5"/>
      <c r="M49" s="5">
        <f>+K48+K49</f>
        <v>342077218.75</v>
      </c>
      <c r="P49" s="195"/>
    </row>
    <row r="50" spans="1:16" ht="13.9" x14ac:dyDescent="0.4">
      <c r="A50" s="8">
        <f t="shared" si="1"/>
        <v>51119</v>
      </c>
      <c r="B50" s="8"/>
      <c r="C50" s="5">
        <f>'Series Detail'!R52</f>
        <v>5897223.4500000002</v>
      </c>
      <c r="D50" s="5"/>
      <c r="E50" s="5">
        <f>'Series Detail'!S52</f>
        <v>39074665</v>
      </c>
      <c r="F50" s="8"/>
      <c r="G50" s="5">
        <f>'Series Detail'!T52</f>
        <v>161547776.55000001</v>
      </c>
      <c r="H50" s="5"/>
      <c r="I50" s="5">
        <f>'Series Detail'!U52</f>
        <v>0</v>
      </c>
      <c r="J50" s="5"/>
      <c r="K50" s="5">
        <f t="shared" si="0"/>
        <v>206519665</v>
      </c>
      <c r="L50" s="5"/>
      <c r="M50" s="4"/>
      <c r="P50" s="195"/>
    </row>
    <row r="51" spans="1:16" ht="13.9" x14ac:dyDescent="0.4">
      <c r="A51" s="8">
        <f t="shared" si="1"/>
        <v>51302</v>
      </c>
      <c r="B51" s="8"/>
      <c r="C51" s="5">
        <f>'Series Detail'!R53</f>
        <v>2077323.1</v>
      </c>
      <c r="D51" s="5"/>
      <c r="E51" s="5">
        <f>'Series Detail'!S53</f>
        <v>38933915</v>
      </c>
      <c r="F51" s="8"/>
      <c r="G51" s="5">
        <f>'Series Detail'!T53</f>
        <v>94542676.900000006</v>
      </c>
      <c r="H51" s="5"/>
      <c r="I51" s="5">
        <f>'Series Detail'!U53</f>
        <v>0</v>
      </c>
      <c r="J51" s="5"/>
      <c r="K51" s="5">
        <f t="shared" si="0"/>
        <v>135553915</v>
      </c>
      <c r="L51" s="5"/>
      <c r="M51" s="5">
        <f>+K50+K51</f>
        <v>342073580</v>
      </c>
      <c r="P51" s="195"/>
    </row>
    <row r="52" spans="1:16" ht="13.9" x14ac:dyDescent="0.4">
      <c r="A52" s="8">
        <f t="shared" si="1"/>
        <v>51485</v>
      </c>
      <c r="B52" s="8"/>
      <c r="C52" s="5">
        <f>'Series Detail'!R54</f>
        <v>5842839.3499999996</v>
      </c>
      <c r="D52" s="5"/>
      <c r="E52" s="5">
        <f>'Series Detail'!S54</f>
        <v>38910665</v>
      </c>
      <c r="F52" s="8"/>
      <c r="G52" s="5">
        <f>'Series Detail'!T54</f>
        <v>161867160.65000001</v>
      </c>
      <c r="H52" s="5"/>
      <c r="I52" s="5">
        <f>'Series Detail'!U54</f>
        <v>0</v>
      </c>
      <c r="J52" s="5"/>
      <c r="K52" s="5">
        <f t="shared" si="0"/>
        <v>206620665</v>
      </c>
      <c r="L52" s="5"/>
      <c r="M52" s="4"/>
      <c r="P52" s="195"/>
    </row>
    <row r="53" spans="1:16" ht="13.9" x14ac:dyDescent="0.4">
      <c r="A53" s="8">
        <f t="shared" si="1"/>
        <v>51667</v>
      </c>
      <c r="B53" s="8"/>
      <c r="C53" s="5">
        <f>'Series Detail'!R55</f>
        <v>14792558</v>
      </c>
      <c r="D53" s="5"/>
      <c r="E53" s="5">
        <f>'Series Detail'!S55</f>
        <v>38763436.25</v>
      </c>
      <c r="F53" s="8"/>
      <c r="G53" s="5">
        <f>'Series Detail'!T55</f>
        <v>81897298.599999994</v>
      </c>
      <c r="H53" s="5"/>
      <c r="I53" s="5">
        <f>'Series Detail'!U55</f>
        <v>0</v>
      </c>
      <c r="J53" s="5"/>
      <c r="K53" s="5">
        <f t="shared" si="0"/>
        <v>135453292.84999999</v>
      </c>
      <c r="L53" s="5"/>
      <c r="M53" s="5">
        <f>+K52+K53</f>
        <v>342073957.85000002</v>
      </c>
      <c r="P53" s="195"/>
    </row>
    <row r="54" spans="1:16" ht="13.9" x14ac:dyDescent="0.4">
      <c r="A54" s="8">
        <f t="shared" si="1"/>
        <v>51850</v>
      </c>
      <c r="B54" s="8"/>
      <c r="C54" s="5">
        <f>'Series Detail'!R56</f>
        <v>123051135.40000001</v>
      </c>
      <c r="D54" s="5"/>
      <c r="E54" s="5">
        <f>'Series Detail'!S56</f>
        <v>38740061.25</v>
      </c>
      <c r="F54" s="8"/>
      <c r="G54" s="5">
        <f>'Series Detail'!T56</f>
        <v>34863864.600000001</v>
      </c>
      <c r="H54" s="5"/>
      <c r="I54" s="5">
        <f>'Series Detail'!U56</f>
        <v>0</v>
      </c>
      <c r="J54" s="5"/>
      <c r="K54" s="5">
        <f t="shared" si="0"/>
        <v>196655061.25</v>
      </c>
      <c r="L54" s="5"/>
      <c r="M54" s="4"/>
      <c r="P54" s="195"/>
    </row>
    <row r="55" spans="1:16" ht="13.9" x14ac:dyDescent="0.4">
      <c r="A55" s="8">
        <f t="shared" si="1"/>
        <v>52032</v>
      </c>
      <c r="B55" s="8"/>
      <c r="C55" s="5">
        <f>'Series Detail'!R57</f>
        <v>109365000</v>
      </c>
      <c r="D55" s="5"/>
      <c r="E55" s="5">
        <f>'Series Detail'!S57</f>
        <v>36054462.5</v>
      </c>
      <c r="F55" s="8"/>
      <c r="G55" s="5">
        <f>'Series Detail'!T57</f>
        <v>0</v>
      </c>
      <c r="H55" s="5"/>
      <c r="I55" s="5">
        <f>'Series Detail'!U57</f>
        <v>0</v>
      </c>
      <c r="J55" s="5"/>
      <c r="K55" s="5">
        <f t="shared" si="0"/>
        <v>145419462.5</v>
      </c>
      <c r="L55" s="5"/>
      <c r="M55" s="5">
        <f>+K54+K55</f>
        <v>342074523.75</v>
      </c>
      <c r="P55" s="195"/>
    </row>
    <row r="56" spans="1:16" ht="13.9" x14ac:dyDescent="0.4">
      <c r="A56" s="8">
        <f t="shared" si="1"/>
        <v>52215</v>
      </c>
      <c r="B56" s="8"/>
      <c r="C56" s="5">
        <f>'Series Detail'!R58</f>
        <v>7083967.5</v>
      </c>
      <c r="D56" s="5"/>
      <c r="E56" s="5">
        <f>'Series Detail'!S58</f>
        <v>33548431.25</v>
      </c>
      <c r="F56" s="8"/>
      <c r="G56" s="5">
        <f>'Series Detail'!T58</f>
        <v>2206032.5</v>
      </c>
      <c r="H56" s="5"/>
      <c r="I56" s="5">
        <f>'Series Detail'!U58</f>
        <v>0</v>
      </c>
      <c r="J56" s="5"/>
      <c r="K56" s="5">
        <f t="shared" si="0"/>
        <v>42838431.25</v>
      </c>
      <c r="L56" s="5"/>
      <c r="M56" s="4"/>
      <c r="P56" s="195"/>
    </row>
    <row r="57" spans="1:16" ht="13.9" x14ac:dyDescent="0.4">
      <c r="A57" s="8">
        <f t="shared" si="1"/>
        <v>52397</v>
      </c>
      <c r="B57" s="8"/>
      <c r="C57" s="5">
        <f>'Series Detail'!R59</f>
        <v>36068329.5</v>
      </c>
      <c r="D57" s="5"/>
      <c r="E57" s="5">
        <f>'Series Detail'!S59</f>
        <v>33319650</v>
      </c>
      <c r="F57" s="8"/>
      <c r="G57" s="5">
        <f>'Series Detail'!T59</f>
        <v>231401670.5</v>
      </c>
      <c r="H57" s="5"/>
      <c r="I57" s="5">
        <f>'Series Detail'!U59</f>
        <v>0</v>
      </c>
      <c r="J57" s="5"/>
      <c r="K57" s="5">
        <f t="shared" si="0"/>
        <v>300789650</v>
      </c>
      <c r="L57" s="5"/>
      <c r="M57" s="5">
        <f>+K56+K57</f>
        <v>343628081.25</v>
      </c>
      <c r="P57" s="195"/>
    </row>
    <row r="58" spans="1:16" ht="13.9" x14ac:dyDescent="0.4">
      <c r="A58" s="8">
        <f t="shared" si="1"/>
        <v>52580</v>
      </c>
      <c r="B58" s="8"/>
      <c r="C58" s="5">
        <f>'Series Detail'!R60</f>
        <v>7408537.5999999996</v>
      </c>
      <c r="D58" s="5"/>
      <c r="E58" s="5">
        <f>'Series Detail'!S60</f>
        <v>33319650</v>
      </c>
      <c r="F58" s="8"/>
      <c r="G58" s="5">
        <f>'Series Detail'!T60</f>
        <v>2351462.3999999999</v>
      </c>
      <c r="H58" s="5"/>
      <c r="I58" s="5">
        <f>'Series Detail'!U60</f>
        <v>0</v>
      </c>
      <c r="J58" s="5"/>
      <c r="K58" s="5">
        <f t="shared" si="0"/>
        <v>43079650</v>
      </c>
      <c r="L58" s="5"/>
      <c r="M58" s="4"/>
      <c r="P58" s="195"/>
    </row>
    <row r="59" spans="1:16" ht="13.9" x14ac:dyDescent="0.4">
      <c r="A59" s="8">
        <f t="shared" si="1"/>
        <v>52763</v>
      </c>
      <c r="B59" s="8"/>
      <c r="C59" s="5">
        <f>'Series Detail'!R61</f>
        <v>33701220</v>
      </c>
      <c r="D59" s="5"/>
      <c r="E59" s="5">
        <f>'Series Detail'!S61</f>
        <v>33076865</v>
      </c>
      <c r="F59" s="8"/>
      <c r="G59" s="5">
        <f>'Series Detail'!T61</f>
        <v>233768780</v>
      </c>
      <c r="H59" s="5"/>
      <c r="I59" s="5">
        <f>'Series Detail'!U61</f>
        <v>0</v>
      </c>
      <c r="J59" s="5"/>
      <c r="K59" s="5">
        <f t="shared" si="0"/>
        <v>300546865</v>
      </c>
      <c r="L59" s="5"/>
      <c r="M59" s="5">
        <f>+K58+K59</f>
        <v>343626515</v>
      </c>
      <c r="P59" s="195"/>
    </row>
    <row r="60" spans="1:16" ht="13.9" x14ac:dyDescent="0.4">
      <c r="A60" s="8">
        <f t="shared" si="1"/>
        <v>52946</v>
      </c>
      <c r="B60" s="8"/>
      <c r="C60" s="5">
        <f>'Series Detail'!R62</f>
        <v>7792577.5999999996</v>
      </c>
      <c r="D60" s="5"/>
      <c r="E60" s="5">
        <f>'Series Detail'!S62</f>
        <v>33076865</v>
      </c>
      <c r="F60" s="8"/>
      <c r="G60" s="5">
        <f>'Series Detail'!T62</f>
        <v>2472422.3999999999</v>
      </c>
      <c r="H60" s="5"/>
      <c r="I60" s="5">
        <f>'Series Detail'!U62</f>
        <v>0</v>
      </c>
      <c r="J60" s="5"/>
      <c r="K60" s="5">
        <f t="shared" si="0"/>
        <v>43341865</v>
      </c>
      <c r="L60" s="5"/>
      <c r="M60" s="4"/>
      <c r="P60" s="195"/>
    </row>
    <row r="61" spans="1:16" ht="13.9" x14ac:dyDescent="0.4">
      <c r="A61" s="8">
        <f t="shared" si="1"/>
        <v>53128</v>
      </c>
      <c r="B61" s="8"/>
      <c r="C61" s="5">
        <f>'Series Detail'!R63</f>
        <v>31689253.199999999</v>
      </c>
      <c r="D61" s="5"/>
      <c r="E61" s="5">
        <f>'Series Detail'!S63</f>
        <v>32821517.5</v>
      </c>
      <c r="F61" s="8"/>
      <c r="G61" s="5">
        <f>'Series Detail'!T63</f>
        <v>235775746.80000001</v>
      </c>
      <c r="H61" s="5"/>
      <c r="I61" s="5">
        <f>'Series Detail'!U63</f>
        <v>0</v>
      </c>
      <c r="J61" s="5"/>
      <c r="K61" s="5">
        <f t="shared" si="0"/>
        <v>300286517.5</v>
      </c>
      <c r="L61" s="5"/>
      <c r="M61" s="5">
        <f>+K60+K61</f>
        <v>343628382.5</v>
      </c>
      <c r="P61" s="195"/>
    </row>
    <row r="62" spans="1:16" ht="13.9" x14ac:dyDescent="0.4">
      <c r="A62" s="8">
        <f t="shared" si="1"/>
        <v>53311</v>
      </c>
      <c r="B62" s="8"/>
      <c r="C62" s="5">
        <f>'Series Detail'!R64</f>
        <v>8184198.4000000004</v>
      </c>
      <c r="D62" s="5"/>
      <c r="E62" s="5">
        <f>'Series Detail'!S64</f>
        <v>32821517.5</v>
      </c>
      <c r="F62" s="8"/>
      <c r="G62" s="5">
        <f>'Series Detail'!T64</f>
        <v>2595801.6</v>
      </c>
      <c r="H62" s="5"/>
      <c r="I62" s="5">
        <f>'Series Detail'!U64</f>
        <v>0</v>
      </c>
      <c r="J62" s="5"/>
      <c r="K62" s="5">
        <f t="shared" si="0"/>
        <v>43601517.5</v>
      </c>
      <c r="L62" s="5"/>
      <c r="M62" s="4"/>
      <c r="P62" s="195"/>
    </row>
    <row r="63" spans="1:16" ht="13.9" x14ac:dyDescent="0.4">
      <c r="A63" s="8">
        <f t="shared" si="1"/>
        <v>53493</v>
      </c>
      <c r="B63" s="8"/>
      <c r="C63" s="5">
        <f>'Series Detail'!R65</f>
        <v>29798832.699999999</v>
      </c>
      <c r="D63" s="5"/>
      <c r="E63" s="5">
        <f>'Series Detail'!S65</f>
        <v>32553358.75</v>
      </c>
      <c r="F63" s="8"/>
      <c r="G63" s="5">
        <f>'Series Detail'!T65</f>
        <v>237671167.30000001</v>
      </c>
      <c r="H63" s="5"/>
      <c r="I63" s="5">
        <f>'Series Detail'!U65</f>
        <v>0</v>
      </c>
      <c r="J63" s="5"/>
      <c r="K63" s="5">
        <f t="shared" si="0"/>
        <v>300023358.75</v>
      </c>
      <c r="L63" s="5"/>
      <c r="M63" s="5">
        <f>+K62+K63</f>
        <v>343624876.25</v>
      </c>
      <c r="P63" s="195"/>
    </row>
    <row r="64" spans="1:16" ht="13.9" x14ac:dyDescent="0.4">
      <c r="A64" s="8">
        <f t="shared" si="1"/>
        <v>53676</v>
      </c>
      <c r="B64" s="8"/>
      <c r="C64" s="5">
        <f>'Series Detail'!R66</f>
        <v>63856142.399999999</v>
      </c>
      <c r="D64" s="5"/>
      <c r="E64" s="5">
        <f>'Series Detail'!S66</f>
        <v>32553358.75</v>
      </c>
      <c r="F64" s="8"/>
      <c r="G64" s="5">
        <f>'Series Detail'!T66</f>
        <v>2728857.6000000001</v>
      </c>
      <c r="H64" s="5"/>
      <c r="I64" s="5">
        <f>'Series Detail'!U66</f>
        <v>0</v>
      </c>
      <c r="J64" s="5"/>
      <c r="K64" s="5">
        <f t="shared" si="0"/>
        <v>99138358.75</v>
      </c>
      <c r="L64" s="5"/>
      <c r="M64" s="4"/>
      <c r="P64" s="195"/>
    </row>
    <row r="65" spans="1:16" ht="13.9" x14ac:dyDescent="0.4">
      <c r="A65" s="8">
        <f t="shared" si="1"/>
        <v>53858</v>
      </c>
      <c r="B65" s="8"/>
      <c r="C65" s="5">
        <f>'Series Detail'!R67</f>
        <v>22376212.199999999</v>
      </c>
      <c r="D65" s="5"/>
      <c r="E65" s="5">
        <f>'Series Detail'!S67</f>
        <v>30890143.75</v>
      </c>
      <c r="F65" s="8"/>
      <c r="G65" s="5">
        <f>'Series Detail'!T67</f>
        <v>191218787.80000001</v>
      </c>
      <c r="H65" s="5"/>
      <c r="I65" s="5">
        <f>'Series Detail'!U67</f>
        <v>0</v>
      </c>
      <c r="J65" s="5"/>
      <c r="K65" s="5">
        <f t="shared" si="0"/>
        <v>244485143.75</v>
      </c>
      <c r="L65" s="5"/>
      <c r="M65" s="5">
        <f>+K64+K65</f>
        <v>343623502.5</v>
      </c>
      <c r="P65" s="195"/>
    </row>
    <row r="66" spans="1:16" ht="13.9" x14ac:dyDescent="0.4">
      <c r="A66" s="8">
        <f t="shared" si="1"/>
        <v>54041</v>
      </c>
      <c r="B66" s="8"/>
      <c r="C66" s="5">
        <f>'Series Detail'!R68</f>
        <v>171333248</v>
      </c>
      <c r="D66" s="5"/>
      <c r="E66" s="5">
        <f>'Series Detail'!S68</f>
        <v>30890143.75</v>
      </c>
      <c r="F66" s="8"/>
      <c r="G66" s="5">
        <f>'Series Detail'!T68</f>
        <v>2866752</v>
      </c>
      <c r="H66" s="5"/>
      <c r="I66" s="5">
        <f>'Series Detail'!U68</f>
        <v>0</v>
      </c>
      <c r="J66" s="5"/>
      <c r="K66" s="5">
        <f t="shared" si="0"/>
        <v>205090143.75</v>
      </c>
      <c r="L66" s="5"/>
      <c r="M66" s="4"/>
      <c r="P66" s="195"/>
    </row>
    <row r="67" spans="1:16" ht="13.9" x14ac:dyDescent="0.4">
      <c r="A67" s="8">
        <f t="shared" si="1"/>
        <v>54224</v>
      </c>
      <c r="B67" s="8"/>
      <c r="C67" s="5">
        <f>'Series Detail'!R69</f>
        <v>112000000</v>
      </c>
      <c r="D67" s="5"/>
      <c r="E67" s="5">
        <f>'Series Detail'!S69</f>
        <v>26536625</v>
      </c>
      <c r="F67" s="8"/>
      <c r="G67" s="5">
        <f>'Series Detail'!T69</f>
        <v>0</v>
      </c>
      <c r="H67" s="5"/>
      <c r="I67" s="5">
        <f>'Series Detail'!U69</f>
        <v>0</v>
      </c>
      <c r="J67" s="5"/>
      <c r="K67" s="5">
        <f t="shared" si="0"/>
        <v>138536625</v>
      </c>
      <c r="L67" s="5"/>
      <c r="M67" s="5">
        <f>+K66+K67</f>
        <v>343626768.75</v>
      </c>
      <c r="P67" s="195"/>
    </row>
    <row r="68" spans="1:16" ht="13.9" x14ac:dyDescent="0.4">
      <c r="A68" s="8">
        <f t="shared" si="1"/>
        <v>54407</v>
      </c>
      <c r="B68" s="8"/>
      <c r="C68" s="5">
        <f>'Series Detail'!R70</f>
        <v>180775000</v>
      </c>
      <c r="D68" s="5"/>
      <c r="E68" s="5">
        <f>'Series Detail'!S70</f>
        <v>24110775</v>
      </c>
      <c r="F68" s="8"/>
      <c r="G68" s="5">
        <f>'Series Detail'!T70</f>
        <v>0</v>
      </c>
      <c r="H68" s="5"/>
      <c r="I68" s="5">
        <f>'Series Detail'!U70</f>
        <v>0</v>
      </c>
      <c r="J68" s="5"/>
      <c r="K68" s="5">
        <f t="shared" si="0"/>
        <v>204885775</v>
      </c>
      <c r="L68" s="5"/>
      <c r="M68" s="4"/>
      <c r="P68" s="195"/>
    </row>
    <row r="69" spans="1:16" ht="13.9" x14ac:dyDescent="0.4">
      <c r="A69" s="8">
        <f t="shared" si="1"/>
        <v>54589</v>
      </c>
      <c r="B69" s="8"/>
      <c r="C69" s="5">
        <f>'Series Detail'!R71</f>
        <v>113674595.3</v>
      </c>
      <c r="D69" s="5"/>
      <c r="E69" s="5">
        <f>'Series Detail'!S71</f>
        <v>20179100</v>
      </c>
      <c r="F69" s="8"/>
      <c r="G69" s="5">
        <f>'Series Detail'!T71</f>
        <v>4883964</v>
      </c>
      <c r="H69" s="5"/>
      <c r="I69" s="5">
        <f>'Series Detail'!U71</f>
        <v>0</v>
      </c>
      <c r="J69" s="5"/>
      <c r="K69" s="5">
        <f t="shared" si="0"/>
        <v>138737659.30000001</v>
      </c>
      <c r="L69" s="5"/>
      <c r="M69" s="5">
        <f>+K68+K69</f>
        <v>343623434.30000001</v>
      </c>
      <c r="P69" s="195"/>
    </row>
    <row r="70" spans="1:16" ht="13.9" x14ac:dyDescent="0.4">
      <c r="A70" s="8">
        <f t="shared" si="1"/>
        <v>54772</v>
      </c>
      <c r="B70" s="8"/>
      <c r="C70" s="5">
        <f>'Series Detail'!R72</f>
        <v>143516263.55000001</v>
      </c>
      <c r="D70" s="5"/>
      <c r="E70" s="5">
        <f>'Series Detail'!S72</f>
        <v>17743475</v>
      </c>
      <c r="F70" s="8"/>
      <c r="G70" s="5">
        <f>'Series Detail'!T72</f>
        <v>43898910.299999997</v>
      </c>
      <c r="H70" s="5"/>
      <c r="I70" s="5">
        <f>'Series Detail'!U72</f>
        <v>0</v>
      </c>
      <c r="J70" s="5"/>
      <c r="K70" s="5">
        <f t="shared" si="0"/>
        <v>205158648.85000002</v>
      </c>
      <c r="L70" s="5"/>
      <c r="M70" s="4"/>
      <c r="P70" s="195"/>
    </row>
    <row r="71" spans="1:16" ht="13.9" x14ac:dyDescent="0.4">
      <c r="A71" s="8">
        <f t="shared" si="1"/>
        <v>54954</v>
      </c>
      <c r="B71" s="8"/>
      <c r="C71" s="5">
        <f>'Series Detail'!R73</f>
        <v>123645000</v>
      </c>
      <c r="D71" s="5"/>
      <c r="E71" s="5">
        <f>'Series Detail'!S73</f>
        <v>14821650</v>
      </c>
      <c r="F71" s="8"/>
      <c r="G71" s="5">
        <f>'Series Detail'!T73</f>
        <v>0</v>
      </c>
      <c r="H71" s="5"/>
      <c r="I71" s="5">
        <f>'Series Detail'!U73</f>
        <v>0</v>
      </c>
      <c r="J71" s="5"/>
      <c r="K71" s="5">
        <f t="shared" si="0"/>
        <v>138466650</v>
      </c>
      <c r="L71" s="5"/>
      <c r="M71" s="5">
        <f>+K70+K71</f>
        <v>343625298.85000002</v>
      </c>
      <c r="P71" s="195"/>
    </row>
    <row r="72" spans="1:16" ht="13.9" x14ac:dyDescent="0.4">
      <c r="A72" s="8">
        <f t="shared" si="1"/>
        <v>55137</v>
      </c>
      <c r="B72" s="8"/>
      <c r="C72" s="5">
        <f>'Series Detail'!R74</f>
        <v>25645714.300000001</v>
      </c>
      <c r="D72" s="5"/>
      <c r="E72" s="5">
        <f>'Series Detail'!S74</f>
        <v>12168750</v>
      </c>
      <c r="F72" s="8"/>
      <c r="G72" s="5">
        <f>'Series Detail'!T74</f>
        <v>170938578.30000001</v>
      </c>
      <c r="H72" s="5"/>
      <c r="I72" s="5">
        <f>'Series Detail'!U74</f>
        <v>0</v>
      </c>
      <c r="J72" s="5"/>
      <c r="K72" s="5">
        <f t="shared" si="0"/>
        <v>208753042.60000002</v>
      </c>
      <c r="L72" s="5"/>
      <c r="M72" s="4"/>
      <c r="P72" s="195"/>
    </row>
    <row r="73" spans="1:16" ht="13.9" x14ac:dyDescent="0.4">
      <c r="A73" s="8">
        <f t="shared" si="1"/>
        <v>55319</v>
      </c>
      <c r="B73" s="8"/>
      <c r="C73" s="5">
        <f>'Series Detail'!R75</f>
        <v>15218139.35</v>
      </c>
      <c r="D73" s="5"/>
      <c r="E73" s="5">
        <f>'Series Detail'!S75</f>
        <v>12088875</v>
      </c>
      <c r="F73" s="8"/>
      <c r="G73" s="5">
        <f>'Series Detail'!T75</f>
        <v>111183089.55</v>
      </c>
      <c r="H73" s="5"/>
      <c r="I73" s="5">
        <f>'Series Detail'!U75</f>
        <v>0</v>
      </c>
      <c r="J73" s="5"/>
      <c r="K73" s="5">
        <f t="shared" si="0"/>
        <v>138490103.90000001</v>
      </c>
      <c r="L73" s="5"/>
      <c r="M73" s="5">
        <f>+K72+K73</f>
        <v>347243146.5</v>
      </c>
      <c r="P73" s="195"/>
    </row>
    <row r="74" spans="1:16" ht="13.9" x14ac:dyDescent="0.4">
      <c r="A74" s="8">
        <f t="shared" si="1"/>
        <v>55502</v>
      </c>
      <c r="B74" s="8"/>
      <c r="C74" s="5">
        <f>'Series Detail'!R76</f>
        <v>46433118.25</v>
      </c>
      <c r="D74" s="5"/>
      <c r="E74" s="5">
        <f>'Series Detail'!S76</f>
        <v>12055125</v>
      </c>
      <c r="F74" s="8"/>
      <c r="G74" s="5">
        <f>'Series Detail'!T76</f>
        <v>150258121.25</v>
      </c>
      <c r="H74" s="5"/>
      <c r="I74" s="5">
        <f>'Series Detail'!U76</f>
        <v>0</v>
      </c>
      <c r="J74" s="5"/>
      <c r="K74" s="5">
        <f t="shared" si="0"/>
        <v>208746364.5</v>
      </c>
      <c r="L74" s="5"/>
      <c r="M74" s="4"/>
      <c r="P74" s="195"/>
    </row>
    <row r="75" spans="1:16" ht="13.9" x14ac:dyDescent="0.4">
      <c r="A75" s="8">
        <f t="shared" si="1"/>
        <v>55685</v>
      </c>
      <c r="B75" s="8"/>
      <c r="C75" s="5">
        <f>'Series Detail'!R77</f>
        <v>127140000</v>
      </c>
      <c r="D75" s="5"/>
      <c r="E75" s="5">
        <f>'Series Detail'!S77</f>
        <v>11354250</v>
      </c>
      <c r="F75" s="8"/>
      <c r="G75" s="5">
        <f>'Series Detail'!T77</f>
        <v>0</v>
      </c>
      <c r="H75" s="5"/>
      <c r="I75" s="5">
        <f>'Series Detail'!U77</f>
        <v>0</v>
      </c>
      <c r="J75" s="5"/>
      <c r="K75" s="5">
        <f t="shared" ref="K75:K91" si="2">SUM(C75:J75)</f>
        <v>138494250</v>
      </c>
      <c r="L75" s="5"/>
      <c r="M75" s="5">
        <f>+K74+K75</f>
        <v>347240614.5</v>
      </c>
      <c r="P75" s="195"/>
    </row>
    <row r="76" spans="1:16" ht="13.9" x14ac:dyDescent="0.4">
      <c r="A76" s="8">
        <f t="shared" ref="A76:A91" si="3">EDATE(A75,6)</f>
        <v>55868</v>
      </c>
      <c r="B76" s="8"/>
      <c r="C76" s="5">
        <f>'Series Detail'!R78</f>
        <v>24777137.699999999</v>
      </c>
      <c r="D76" s="5"/>
      <c r="E76" s="5">
        <f>'Series Detail'!S78</f>
        <v>8175750</v>
      </c>
      <c r="F76" s="8"/>
      <c r="G76" s="5">
        <f>'Series Detail'!T78</f>
        <v>176794160.5</v>
      </c>
      <c r="H76" s="5"/>
      <c r="I76" s="5">
        <f>'Series Detail'!U78</f>
        <v>0</v>
      </c>
      <c r="J76" s="5"/>
      <c r="K76" s="5">
        <f t="shared" si="2"/>
        <v>209747048.19999999</v>
      </c>
      <c r="L76" s="5"/>
      <c r="M76" s="4"/>
      <c r="P76" s="195"/>
    </row>
    <row r="77" spans="1:16" ht="13.9" x14ac:dyDescent="0.4">
      <c r="A77" s="8">
        <f t="shared" si="3"/>
        <v>56050</v>
      </c>
      <c r="B77" s="8"/>
      <c r="C77" s="5">
        <f>'Series Detail'!R79</f>
        <v>129335000</v>
      </c>
      <c r="D77" s="5"/>
      <c r="E77" s="5">
        <f>'Series Detail'!S79</f>
        <v>8158500</v>
      </c>
      <c r="F77" s="8"/>
      <c r="G77" s="5">
        <f>'Series Detail'!T79</f>
        <v>0</v>
      </c>
      <c r="H77" s="5"/>
      <c r="I77" s="5">
        <f>'Series Detail'!U79</f>
        <v>0</v>
      </c>
      <c r="J77" s="5"/>
      <c r="K77" s="5">
        <f t="shared" si="2"/>
        <v>137493500</v>
      </c>
      <c r="L77" s="5"/>
      <c r="M77" s="5">
        <f>+K76+K77</f>
        <v>347240548.19999999</v>
      </c>
      <c r="P77" s="195"/>
    </row>
    <row r="78" spans="1:16" ht="13.9" x14ac:dyDescent="0.4">
      <c r="A78" s="8">
        <f t="shared" si="3"/>
        <v>56233</v>
      </c>
      <c r="B78" s="8"/>
      <c r="C78" s="5">
        <f>'Series Detail'!R80</f>
        <v>32548480.649999999</v>
      </c>
      <c r="D78" s="5"/>
      <c r="E78" s="5">
        <f>'Series Detail'!S80</f>
        <v>4750125</v>
      </c>
      <c r="F78" s="8"/>
      <c r="G78" s="5">
        <f>'Series Detail'!T80</f>
        <v>177986684.5</v>
      </c>
      <c r="H78" s="5"/>
      <c r="I78" s="5">
        <f>'Series Detail'!U80</f>
        <v>0</v>
      </c>
      <c r="J78" s="5"/>
      <c r="K78" s="5">
        <f t="shared" si="2"/>
        <v>215285290.15000001</v>
      </c>
      <c r="L78" s="5"/>
      <c r="M78" s="4"/>
      <c r="P78" s="195"/>
    </row>
    <row r="79" spans="1:16" ht="13.9" x14ac:dyDescent="0.4">
      <c r="A79" s="8">
        <f t="shared" si="3"/>
        <v>56415</v>
      </c>
      <c r="B79" s="8"/>
      <c r="C79" s="5">
        <f>'Series Detail'!R81</f>
        <v>36149432</v>
      </c>
      <c r="D79" s="5"/>
      <c r="E79" s="5">
        <f>'Series Detail'!S81</f>
        <v>4750125</v>
      </c>
      <c r="F79" s="8"/>
      <c r="G79" s="5">
        <f>'Series Detail'!T81</f>
        <v>91058660</v>
      </c>
      <c r="H79" s="5"/>
      <c r="I79" s="5">
        <f>'Series Detail'!U81</f>
        <v>0</v>
      </c>
      <c r="J79" s="5"/>
      <c r="K79" s="5">
        <f t="shared" si="2"/>
        <v>131958217</v>
      </c>
      <c r="L79" s="5"/>
      <c r="M79" s="5">
        <f>+K78+K79</f>
        <v>347243507.14999998</v>
      </c>
      <c r="P79" s="195"/>
    </row>
    <row r="80" spans="1:16" ht="13.9" x14ac:dyDescent="0.4">
      <c r="A80" s="8">
        <f t="shared" si="3"/>
        <v>56598</v>
      </c>
      <c r="B80" s="8"/>
      <c r="C80" s="5">
        <f>'Series Detail'!R82</f>
        <v>30978571.5</v>
      </c>
      <c r="D80" s="5"/>
      <c r="E80" s="5">
        <f>'Series Detail'!S82</f>
        <v>4250125</v>
      </c>
      <c r="F80" s="8"/>
      <c r="G80" s="5">
        <f>'Series Detail'!T82</f>
        <v>180062062</v>
      </c>
      <c r="H80" s="5"/>
      <c r="I80" s="5">
        <f>'Series Detail'!U82</f>
        <v>0</v>
      </c>
      <c r="J80" s="5"/>
      <c r="K80" s="5">
        <f t="shared" si="2"/>
        <v>215290758.5</v>
      </c>
      <c r="L80" s="5"/>
      <c r="M80" s="4"/>
      <c r="P80" s="195"/>
    </row>
    <row r="81" spans="1:16" ht="13.9" x14ac:dyDescent="0.4">
      <c r="A81" s="8">
        <f t="shared" si="3"/>
        <v>56780</v>
      </c>
      <c r="B81" s="8"/>
      <c r="C81" s="5">
        <f>'Series Detail'!R83</f>
        <v>35404535.299999997</v>
      </c>
      <c r="D81" s="5"/>
      <c r="E81" s="5">
        <f>'Series Detail'!S83</f>
        <v>4250125</v>
      </c>
      <c r="F81" s="8"/>
      <c r="G81" s="5">
        <f>'Series Detail'!T83</f>
        <v>92299160.799999997</v>
      </c>
      <c r="H81" s="5"/>
      <c r="I81" s="5">
        <f>'Series Detail'!U83</f>
        <v>0</v>
      </c>
      <c r="J81" s="5"/>
      <c r="K81" s="5">
        <f t="shared" si="2"/>
        <v>131953821.09999999</v>
      </c>
      <c r="L81" s="5"/>
      <c r="M81" s="5">
        <f>+K80+K81</f>
        <v>347244579.60000002</v>
      </c>
      <c r="P81" s="195"/>
    </row>
    <row r="82" spans="1:16" ht="13.9" x14ac:dyDescent="0.4">
      <c r="A82" s="8">
        <f t="shared" si="3"/>
        <v>56963</v>
      </c>
      <c r="B82" s="8"/>
      <c r="C82" s="5">
        <f>'Series Detail'!R84</f>
        <v>42944037.049999997</v>
      </c>
      <c r="D82" s="5"/>
      <c r="E82" s="5">
        <f>'Series Detail'!S84</f>
        <v>3750125</v>
      </c>
      <c r="F82" s="8"/>
      <c r="G82" s="5">
        <f>'Series Detail'!T84</f>
        <v>141683286.59999999</v>
      </c>
      <c r="H82" s="5"/>
      <c r="I82" s="5">
        <f>'Series Detail'!U84</f>
        <v>0</v>
      </c>
      <c r="J82" s="5"/>
      <c r="K82" s="5">
        <f t="shared" si="2"/>
        <v>188377448.64999998</v>
      </c>
      <c r="L82" s="5"/>
      <c r="M82" s="4"/>
      <c r="P82" s="195"/>
    </row>
    <row r="83" spans="1:16" ht="13.9" x14ac:dyDescent="0.4">
      <c r="A83" s="8">
        <f t="shared" si="3"/>
        <v>57146</v>
      </c>
      <c r="B83" s="8"/>
      <c r="C83" s="5">
        <f>'Series Detail'!R85</f>
        <v>26618429.75</v>
      </c>
      <c r="D83" s="5"/>
      <c r="E83" s="5">
        <f>'Series Detail'!S85</f>
        <v>3250125</v>
      </c>
      <c r="F83" s="8"/>
      <c r="G83" s="5">
        <f>'Series Detail'!T85</f>
        <v>128994700</v>
      </c>
      <c r="H83" s="5"/>
      <c r="I83" s="5">
        <f>'Series Detail'!U85</f>
        <v>0</v>
      </c>
      <c r="J83" s="5"/>
      <c r="K83" s="5">
        <f t="shared" si="2"/>
        <v>158863254.75</v>
      </c>
      <c r="L83" s="5"/>
      <c r="M83" s="5">
        <f>+K82+K83</f>
        <v>347240703.39999998</v>
      </c>
      <c r="P83" s="195"/>
    </row>
    <row r="84" spans="1:16" ht="13.9" x14ac:dyDescent="0.4">
      <c r="A84" s="8">
        <f t="shared" si="3"/>
        <v>57329</v>
      </c>
      <c r="B84" s="8"/>
      <c r="C84" s="5">
        <f>'Series Detail'!R86</f>
        <v>36621670.25</v>
      </c>
      <c r="D84" s="5"/>
      <c r="E84" s="5">
        <f>'Series Detail'!S86</f>
        <v>3250125</v>
      </c>
      <c r="F84" s="8"/>
      <c r="G84" s="5">
        <f>'Series Detail'!T86</f>
        <v>175418329.75</v>
      </c>
      <c r="H84" s="5"/>
      <c r="I84" s="5">
        <f>'Series Detail'!U86</f>
        <v>0</v>
      </c>
      <c r="J84" s="5"/>
      <c r="K84" s="5">
        <f t="shared" si="2"/>
        <v>215290125</v>
      </c>
      <c r="L84" s="5"/>
      <c r="M84" s="4"/>
      <c r="P84" s="195"/>
    </row>
    <row r="85" spans="1:16" ht="13.9" x14ac:dyDescent="0.4">
      <c r="A85" s="8">
        <f t="shared" si="3"/>
        <v>57511</v>
      </c>
      <c r="B85" s="8"/>
      <c r="C85" s="5">
        <f>'Series Detail'!R87</f>
        <v>128740000</v>
      </c>
      <c r="D85" s="5"/>
      <c r="E85" s="5">
        <f>'Series Detail'!S87</f>
        <v>3218500</v>
      </c>
      <c r="F85" s="8"/>
      <c r="G85" s="5">
        <f>'Series Detail'!T87</f>
        <v>0</v>
      </c>
      <c r="H85" s="5"/>
      <c r="I85" s="5">
        <f>'Series Detail'!U87</f>
        <v>0</v>
      </c>
      <c r="J85" s="5"/>
      <c r="K85" s="5">
        <f t="shared" si="2"/>
        <v>131958500</v>
      </c>
      <c r="L85" s="5"/>
      <c r="M85" s="5">
        <f>+K84+K85</f>
        <v>347248625</v>
      </c>
      <c r="P85" s="195"/>
    </row>
    <row r="86" spans="1:16" ht="13.9" x14ac:dyDescent="0.4">
      <c r="A86" s="8">
        <f t="shared" si="3"/>
        <v>57694</v>
      </c>
      <c r="B86" s="8"/>
      <c r="C86" s="5">
        <f>'Series Detail'!R88</f>
        <v>0</v>
      </c>
      <c r="D86" s="5"/>
      <c r="E86" s="5">
        <f>'Series Detail'!S88</f>
        <v>0</v>
      </c>
      <c r="F86" s="8"/>
      <c r="G86" s="5">
        <f>'Series Detail'!T88</f>
        <v>0</v>
      </c>
      <c r="H86" s="5"/>
      <c r="I86" s="5">
        <f>'Series Detail'!U88</f>
        <v>0</v>
      </c>
      <c r="J86" s="5"/>
      <c r="K86" s="5">
        <f t="shared" si="2"/>
        <v>0</v>
      </c>
      <c r="L86" s="5"/>
      <c r="M86" s="4"/>
    </row>
    <row r="87" spans="1:16" ht="13.9" x14ac:dyDescent="0.4">
      <c r="A87" s="8">
        <f t="shared" si="3"/>
        <v>57876</v>
      </c>
      <c r="B87" s="8"/>
      <c r="C87" s="5">
        <f>'Series Detail'!R89</f>
        <v>0</v>
      </c>
      <c r="D87" s="5"/>
      <c r="E87" s="5">
        <f>'Series Detail'!S89</f>
        <v>0</v>
      </c>
      <c r="F87" s="8"/>
      <c r="G87" s="5">
        <f>'Series Detail'!T89</f>
        <v>0</v>
      </c>
      <c r="H87" s="5"/>
      <c r="I87" s="5">
        <f>'Series Detail'!U89</f>
        <v>0</v>
      </c>
      <c r="J87" s="5"/>
      <c r="K87" s="5">
        <f t="shared" si="2"/>
        <v>0</v>
      </c>
      <c r="L87" s="5"/>
      <c r="M87" s="5">
        <f>+K86+K87</f>
        <v>0</v>
      </c>
    </row>
    <row r="88" spans="1:16" ht="13.9" x14ac:dyDescent="0.4">
      <c r="A88" s="8">
        <f t="shared" si="3"/>
        <v>58059</v>
      </c>
      <c r="B88" s="8"/>
      <c r="C88" s="5">
        <f>'Series Detail'!R90</f>
        <v>0</v>
      </c>
      <c r="D88" s="5"/>
      <c r="E88" s="5">
        <f>'Series Detail'!S90</f>
        <v>0</v>
      </c>
      <c r="F88" s="8"/>
      <c r="G88" s="5">
        <f>'Series Detail'!T90</f>
        <v>0</v>
      </c>
      <c r="H88" s="5"/>
      <c r="I88" s="5">
        <f>'Series Detail'!U90</f>
        <v>0</v>
      </c>
      <c r="J88" s="5"/>
      <c r="K88" s="5">
        <f t="shared" si="2"/>
        <v>0</v>
      </c>
      <c r="L88" s="5"/>
      <c r="M88" s="4"/>
    </row>
    <row r="89" spans="1:16" ht="13.9" x14ac:dyDescent="0.4">
      <c r="A89" s="8">
        <f t="shared" si="3"/>
        <v>58241</v>
      </c>
      <c r="B89" s="8"/>
      <c r="C89" s="5">
        <f>'Series Detail'!R91</f>
        <v>0</v>
      </c>
      <c r="D89" s="5"/>
      <c r="E89" s="5">
        <f>'Series Detail'!S91</f>
        <v>0</v>
      </c>
      <c r="F89" s="8"/>
      <c r="G89" s="5">
        <f>'Series Detail'!T91</f>
        <v>0</v>
      </c>
      <c r="H89" s="5"/>
      <c r="I89" s="5">
        <f>'Series Detail'!U91</f>
        <v>0</v>
      </c>
      <c r="J89" s="5"/>
      <c r="K89" s="5">
        <f t="shared" si="2"/>
        <v>0</v>
      </c>
      <c r="L89" s="5"/>
      <c r="M89" s="5">
        <f>+K88+K89</f>
        <v>0</v>
      </c>
    </row>
    <row r="90" spans="1:16" ht="13.9" x14ac:dyDescent="0.4">
      <c r="A90" s="8">
        <f t="shared" si="3"/>
        <v>58424</v>
      </c>
      <c r="B90" s="8"/>
      <c r="C90" s="5">
        <f>'Series Detail'!R92</f>
        <v>0</v>
      </c>
      <c r="D90" s="5"/>
      <c r="E90" s="5">
        <f>'Series Detail'!S92</f>
        <v>0</v>
      </c>
      <c r="F90" s="8"/>
      <c r="G90" s="5">
        <f>'Series Detail'!T92</f>
        <v>0</v>
      </c>
      <c r="H90" s="5"/>
      <c r="I90" s="5">
        <f>'Series Detail'!U92</f>
        <v>0</v>
      </c>
      <c r="J90" s="5"/>
      <c r="K90" s="5">
        <f t="shared" si="2"/>
        <v>0</v>
      </c>
      <c r="L90" s="5"/>
      <c r="M90" s="4"/>
    </row>
    <row r="91" spans="1:16" ht="13.9" x14ac:dyDescent="0.4">
      <c r="A91" s="8">
        <f t="shared" si="3"/>
        <v>58607</v>
      </c>
      <c r="B91" s="8"/>
      <c r="C91" s="5">
        <f>'Series Detail'!R93</f>
        <v>0</v>
      </c>
      <c r="D91" s="5"/>
      <c r="E91" s="5">
        <f>'Series Detail'!S93</f>
        <v>0</v>
      </c>
      <c r="F91" s="8"/>
      <c r="G91" s="5">
        <f>'Series Detail'!T93</f>
        <v>0</v>
      </c>
      <c r="H91" s="5"/>
      <c r="I91" s="5">
        <f>'Series Detail'!U93</f>
        <v>0</v>
      </c>
      <c r="J91" s="5"/>
      <c r="K91" s="5">
        <f t="shared" si="2"/>
        <v>0</v>
      </c>
      <c r="L91" s="5"/>
      <c r="M91" s="5">
        <f>+K90+K91</f>
        <v>0</v>
      </c>
    </row>
    <row r="92" spans="1:16" ht="13.9" x14ac:dyDescent="0.4">
      <c r="A92" s="8"/>
      <c r="B92" s="8"/>
      <c r="C92" s="13"/>
      <c r="D92" s="4"/>
      <c r="E92" s="13"/>
      <c r="F92" s="8"/>
      <c r="G92" s="13"/>
      <c r="H92" s="4"/>
      <c r="I92" s="13"/>
      <c r="J92" s="4"/>
      <c r="K92" s="13"/>
      <c r="L92" s="4"/>
      <c r="M92" s="13"/>
    </row>
    <row r="93" spans="1:16" ht="14.25" thickBot="1" x14ac:dyDescent="0.45">
      <c r="A93" s="8" t="s">
        <v>40</v>
      </c>
      <c r="B93" s="8"/>
      <c r="C93" s="49">
        <f>SUM(C10:C92)</f>
        <v>2935029555.1000004</v>
      </c>
      <c r="D93" s="5"/>
      <c r="E93" s="49">
        <f>SUM(E10:E92)</f>
        <v>2594683828.4400001</v>
      </c>
      <c r="F93" s="8"/>
      <c r="G93" s="49">
        <f>SUM(G10:G92)</f>
        <v>6718410134.0000029</v>
      </c>
      <c r="H93" s="5"/>
      <c r="I93" s="49">
        <f>SUM(I10:I92)</f>
        <v>-23961878.119999997</v>
      </c>
      <c r="J93" s="5"/>
      <c r="K93" s="49">
        <f>SUM(K10:K92)</f>
        <v>12224161639.42</v>
      </c>
      <c r="L93" s="5"/>
      <c r="M93" s="49">
        <f>SUM(M10:M92)</f>
        <v>12224161639.42</v>
      </c>
    </row>
    <row r="94" spans="1:16" ht="13.15" thickTop="1" x14ac:dyDescent="0.35"/>
    <row r="95" spans="1:16" x14ac:dyDescent="0.35">
      <c r="K95" s="2"/>
    </row>
    <row r="96" spans="1:16" ht="13.9" x14ac:dyDescent="0.4">
      <c r="A96" s="204">
        <f ca="1">'2020A'!A76</f>
        <v>43964.71279351852</v>
      </c>
      <c r="B96" s="204"/>
      <c r="C96" s="204"/>
    </row>
  </sheetData>
  <mergeCells count="1">
    <mergeCell ref="A96:C96"/>
  </mergeCells>
  <phoneticPr fontId="0" type="noConversion"/>
  <pageMargins left="0.75" right="0.75" top="0.75" bottom="0.75" header="0.5" footer="0.5"/>
  <pageSetup scale="66" fitToHeight="0" orientation="portrait" r:id="rId1"/>
  <headerFooter alignWithMargins="0"/>
  <rowBreaks count="1" manualBreakCount="1">
    <brk id="7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02"/>
  <sheetViews>
    <sheetView zoomScaleNormal="100" zoomScaleSheetLayoutView="100" workbookViewId="0">
      <pane xSplit="1" ySplit="9" topLeftCell="B10" activePane="bottomRight" state="frozen"/>
      <selection activeCell="M7" sqref="M7"/>
      <selection pane="topRight" activeCell="M7" sqref="M7"/>
      <selection pane="bottomLeft" activeCell="M7" sqref="M7"/>
      <selection pane="bottomRight" activeCell="I24" sqref="I24"/>
    </sheetView>
  </sheetViews>
  <sheetFormatPr defaultColWidth="10.6640625" defaultRowHeight="12.75" x14ac:dyDescent="0.35"/>
  <cols>
    <col min="1" max="1" width="21.33203125" style="3" customWidth="1"/>
    <col min="2" max="2" width="3.6640625" style="3" customWidth="1"/>
    <col min="3" max="3" width="19.83203125" style="1" customWidth="1"/>
    <col min="4" max="4" width="3.6640625" style="1" customWidth="1"/>
    <col min="5" max="5" width="19.83203125" style="1" customWidth="1"/>
    <col min="6" max="6" width="3.6640625" style="1" customWidth="1"/>
    <col min="7" max="7" width="19.83203125" style="1" customWidth="1"/>
    <col min="8" max="8" width="3.6640625" style="1" customWidth="1"/>
    <col min="9" max="9" width="19.83203125" style="1" customWidth="1"/>
    <col min="10" max="10" width="3.6640625" style="1" customWidth="1"/>
    <col min="11" max="11" width="20.83203125" style="1" customWidth="1"/>
    <col min="12" max="12" width="3.6640625" style="1" customWidth="1"/>
    <col min="13" max="13" width="19.83203125" style="1" customWidth="1"/>
    <col min="14" max="21" width="14.83203125" style="1" customWidth="1"/>
    <col min="22" max="16384" width="10.6640625" style="1"/>
  </cols>
  <sheetData>
    <row r="1" spans="1:21" s="189" customFormat="1" ht="17.25" x14ac:dyDescent="0.45">
      <c r="A1" s="187"/>
      <c r="B1" s="187"/>
      <c r="C1" s="53" t="str">
        <f>'Total Debt'!C1</f>
        <v>MPEA 2020A Expansion Project Bond Deal</v>
      </c>
      <c r="D1" s="53"/>
      <c r="E1" s="53"/>
      <c r="F1" s="53"/>
      <c r="G1" s="53"/>
      <c r="H1" s="53"/>
      <c r="I1" s="53"/>
      <c r="J1" s="53"/>
      <c r="K1" s="53"/>
      <c r="L1" s="53"/>
      <c r="M1" s="188"/>
    </row>
    <row r="2" spans="1:21" s="58" customFormat="1" ht="17.25" x14ac:dyDescent="0.45">
      <c r="A2" s="59"/>
      <c r="B2" s="59"/>
      <c r="C2" s="116" t="s">
        <v>44</v>
      </c>
      <c r="D2" s="116"/>
      <c r="E2" s="116"/>
      <c r="F2" s="116"/>
      <c r="G2" s="116"/>
      <c r="H2" s="116"/>
      <c r="I2" s="116"/>
      <c r="J2" s="116"/>
      <c r="K2" s="116"/>
      <c r="L2" s="116"/>
      <c r="M2" s="60"/>
    </row>
    <row r="3" spans="1:21" s="58" customFormat="1" ht="15" x14ac:dyDescent="0.4">
      <c r="A3" s="61"/>
      <c r="B3" s="61"/>
      <c r="C3" s="62" t="str">
        <f>'Total Debt'!C3</f>
        <v>(After Series 2020A Expansion Project Bond Issuance)</v>
      </c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21" ht="15" x14ac:dyDescent="0.4">
      <c r="A4" s="8"/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4"/>
    </row>
    <row r="5" spans="1:21" ht="15" x14ac:dyDescent="0.4">
      <c r="A5" s="41" t="s">
        <v>28</v>
      </c>
      <c r="B5" s="41"/>
      <c r="C5" s="8"/>
      <c r="D5" s="8"/>
      <c r="E5" s="42">
        <v>43907</v>
      </c>
      <c r="F5" s="47"/>
      <c r="G5" s="47"/>
      <c r="H5" s="47"/>
      <c r="I5" s="47"/>
      <c r="J5" s="47"/>
      <c r="K5" s="14"/>
      <c r="L5" s="14"/>
      <c r="M5" s="4"/>
    </row>
    <row r="6" spans="1:21" ht="15" x14ac:dyDescent="0.4">
      <c r="A6" s="8"/>
      <c r="B6" s="8"/>
      <c r="C6" s="14"/>
      <c r="D6" s="14"/>
      <c r="E6" s="14"/>
      <c r="F6" s="14"/>
      <c r="G6" s="14"/>
      <c r="H6" s="14"/>
      <c r="I6" s="14"/>
      <c r="J6" s="14"/>
      <c r="K6" s="14"/>
      <c r="L6" s="14"/>
      <c r="M6" s="4"/>
    </row>
    <row r="7" spans="1:21" ht="15" x14ac:dyDescent="0.4">
      <c r="A7" s="33" t="s">
        <v>25</v>
      </c>
      <c r="B7" s="33"/>
      <c r="C7" s="11"/>
      <c r="D7" s="11"/>
      <c r="E7" s="11"/>
      <c r="F7" s="11"/>
      <c r="G7" s="11"/>
      <c r="H7" s="11"/>
      <c r="I7" s="11"/>
      <c r="J7" s="11"/>
      <c r="K7" s="11"/>
      <c r="L7" s="14"/>
      <c r="M7" s="4"/>
    </row>
    <row r="8" spans="1:21" ht="13.5" x14ac:dyDescent="0.35">
      <c r="A8" s="9" t="s">
        <v>26</v>
      </c>
      <c r="B8" s="9"/>
      <c r="C8" s="11" t="s">
        <v>32</v>
      </c>
      <c r="D8" s="11"/>
      <c r="E8" s="10"/>
      <c r="F8" s="11"/>
      <c r="G8" s="11" t="s">
        <v>35</v>
      </c>
      <c r="H8" s="10"/>
      <c r="I8" s="11" t="s">
        <v>37</v>
      </c>
      <c r="J8" s="11"/>
      <c r="K8" s="11"/>
      <c r="L8" s="11"/>
      <c r="M8" s="11" t="s">
        <v>43</v>
      </c>
    </row>
    <row r="9" spans="1:21" ht="13.5" x14ac:dyDescent="0.35">
      <c r="A9" s="12" t="s">
        <v>27</v>
      </c>
      <c r="B9" s="12"/>
      <c r="C9" s="10" t="s">
        <v>33</v>
      </c>
      <c r="D9" s="10"/>
      <c r="E9" s="10" t="s">
        <v>34</v>
      </c>
      <c r="F9" s="10"/>
      <c r="G9" s="10" t="s">
        <v>36</v>
      </c>
      <c r="H9" s="10"/>
      <c r="I9" s="10" t="s">
        <v>36</v>
      </c>
      <c r="J9" s="10"/>
      <c r="K9" s="10" t="s">
        <v>38</v>
      </c>
      <c r="L9" s="10"/>
      <c r="M9" s="10" t="s">
        <v>38</v>
      </c>
    </row>
    <row r="10" spans="1:21" ht="13.9" x14ac:dyDescent="0.4">
      <c r="A10" s="8">
        <v>43814</v>
      </c>
      <c r="B10" s="8"/>
      <c r="C10" s="5">
        <f>'Series Detail'!R12-'Series Detail'!Y12-'Series Detail'!AA12</f>
        <v>1374430.75</v>
      </c>
      <c r="D10" s="5"/>
      <c r="E10" s="5">
        <f>'Series Detail'!S12-'Series Detail'!AC12</f>
        <v>58930863.75</v>
      </c>
      <c r="F10" s="5"/>
      <c r="G10" s="5">
        <f>'Series Detail'!T12-'Series Detail'!AD12</f>
        <v>2395569.25</v>
      </c>
      <c r="H10" s="5"/>
      <c r="I10" s="5">
        <f>'Series Detail'!U12-'Series Detail'!AE12</f>
        <v>0</v>
      </c>
      <c r="J10" s="5"/>
      <c r="K10" s="5">
        <f>SUM(C10:J10)</f>
        <v>62700863.75</v>
      </c>
      <c r="L10" s="5"/>
      <c r="M10" s="4"/>
      <c r="N10" s="2"/>
      <c r="O10" s="2"/>
      <c r="P10" s="2"/>
      <c r="Q10" s="2"/>
      <c r="R10" s="2"/>
      <c r="S10" s="2"/>
      <c r="T10" s="2"/>
      <c r="U10" s="2"/>
    </row>
    <row r="11" spans="1:21" ht="13.9" x14ac:dyDescent="0.4">
      <c r="A11" s="8">
        <v>43997</v>
      </c>
      <c r="B11" s="8"/>
      <c r="C11" s="5">
        <f>'Series Detail'!R13-'Series Detail'!Y13-'Series Detail'!AA13</f>
        <v>13920132.449999999</v>
      </c>
      <c r="D11" s="5"/>
      <c r="E11" s="5">
        <f>'Series Detail'!S13-'Series Detail'!AC13</f>
        <v>59450183.019999996</v>
      </c>
      <c r="F11" s="5"/>
      <c r="G11" s="5">
        <f>'Series Detail'!T13-'Series Detail'!AD13</f>
        <v>54574867.549999997</v>
      </c>
      <c r="H11" s="5"/>
      <c r="I11" s="5">
        <f>'Series Detail'!U13-'Series Detail'!AE13</f>
        <v>0</v>
      </c>
      <c r="J11" s="5"/>
      <c r="K11" s="5">
        <f t="shared" ref="K11:K74" si="0">SUM(C11:J11)</f>
        <v>127945183.02</v>
      </c>
      <c r="L11" s="5"/>
      <c r="M11" s="5">
        <f>+K10+K11</f>
        <v>190646046.76999998</v>
      </c>
      <c r="N11" s="2"/>
      <c r="O11" s="2"/>
      <c r="P11" s="2"/>
      <c r="Q11" s="2"/>
      <c r="R11" s="2"/>
      <c r="S11" s="2"/>
      <c r="T11" s="2"/>
      <c r="U11" s="2"/>
    </row>
    <row r="12" spans="1:21" ht="13.9" x14ac:dyDescent="0.4">
      <c r="A12" s="8">
        <v>44180</v>
      </c>
      <c r="B12" s="8"/>
      <c r="C12" s="5">
        <f>'Series Detail'!R14-'Series Detail'!Y14-'Series Detail'!AA14</f>
        <v>57141968.600000001</v>
      </c>
      <c r="D12" s="5"/>
      <c r="E12" s="5">
        <f>'Series Detail'!S14-'Series Detail'!AC14</f>
        <v>36385976.25</v>
      </c>
      <c r="F12" s="5"/>
      <c r="G12" s="5">
        <f>'Series Detail'!T14-'Series Detail'!AD14</f>
        <v>12833031.4</v>
      </c>
      <c r="H12" s="5"/>
      <c r="I12" s="5">
        <f>'Series Detail'!U14-'Series Detail'!AE14</f>
        <v>0</v>
      </c>
      <c r="J12" s="5"/>
      <c r="K12" s="5">
        <f t="shared" si="0"/>
        <v>106360976.25</v>
      </c>
      <c r="L12" s="5"/>
      <c r="M12" s="4"/>
      <c r="N12" s="2"/>
      <c r="O12" s="2"/>
      <c r="P12" s="2"/>
      <c r="Q12" s="2"/>
      <c r="R12" s="2"/>
      <c r="S12" s="2"/>
      <c r="T12" s="2"/>
      <c r="U12" s="2"/>
    </row>
    <row r="13" spans="1:21" ht="13.9" x14ac:dyDescent="0.4">
      <c r="A13" s="8">
        <v>44362</v>
      </c>
      <c r="B13" s="8"/>
      <c r="C13" s="5">
        <f>'Series Detail'!R15-'Series Detail'!Y15-'Series Detail'!AA15</f>
        <v>8883792.4000000004</v>
      </c>
      <c r="D13" s="5"/>
      <c r="E13" s="5">
        <f>'Series Detail'!S15-'Series Detail'!AC15</f>
        <v>35048676.25</v>
      </c>
      <c r="F13" s="5"/>
      <c r="G13" s="5">
        <f>'Series Detail'!T15-'Series Detail'!AD15</f>
        <v>38106207.600000001</v>
      </c>
      <c r="H13" s="5"/>
      <c r="I13" s="5">
        <f>'Series Detail'!U15-'Series Detail'!AE15</f>
        <v>0</v>
      </c>
      <c r="J13" s="5"/>
      <c r="K13" s="5">
        <f t="shared" si="0"/>
        <v>82038676.25</v>
      </c>
      <c r="L13" s="5"/>
      <c r="M13" s="5">
        <f>+K12+K13</f>
        <v>188399652.5</v>
      </c>
      <c r="N13" s="2"/>
      <c r="O13" s="2"/>
      <c r="P13" s="2"/>
      <c r="Q13" s="2"/>
      <c r="R13" s="2"/>
      <c r="S13" s="2"/>
      <c r="T13" s="2"/>
      <c r="U13" s="2"/>
    </row>
    <row r="14" spans="1:21" ht="13.9" x14ac:dyDescent="0.4">
      <c r="A14" s="8">
        <v>44545</v>
      </c>
      <c r="B14" s="8"/>
      <c r="C14" s="5">
        <f>'Series Detail'!R16-'Series Detail'!Y16-'Series Detail'!AA16</f>
        <v>12837848</v>
      </c>
      <c r="D14" s="5"/>
      <c r="E14" s="5">
        <f>'Series Detail'!S16-'Series Detail'!AC16</f>
        <v>34997663.75</v>
      </c>
      <c r="F14" s="5"/>
      <c r="G14" s="5">
        <f>'Series Detail'!T16-'Series Detail'!AD16</f>
        <v>39427152</v>
      </c>
      <c r="H14" s="5"/>
      <c r="I14" s="5">
        <f>'Series Detail'!U16-'Series Detail'!AE16</f>
        <v>0</v>
      </c>
      <c r="J14" s="5"/>
      <c r="K14" s="5">
        <f t="shared" si="0"/>
        <v>87262663.75</v>
      </c>
      <c r="L14" s="5"/>
      <c r="M14" s="4"/>
      <c r="N14" s="2"/>
      <c r="O14" s="2"/>
      <c r="P14" s="2"/>
      <c r="Q14" s="2"/>
      <c r="R14" s="2"/>
      <c r="S14" s="2"/>
      <c r="T14" s="2"/>
      <c r="U14" s="2"/>
    </row>
    <row r="15" spans="1:21" ht="13.9" x14ac:dyDescent="0.4">
      <c r="A15" s="8">
        <v>44727</v>
      </c>
      <c r="B15" s="8"/>
      <c r="C15" s="5">
        <f>'Series Detail'!R17-'Series Detail'!Y17-'Series Detail'!AA17</f>
        <v>34882148.700000003</v>
      </c>
      <c r="D15" s="5"/>
      <c r="E15" s="5">
        <f>'Series Detail'!S17-'Series Detail'!AC17</f>
        <v>34943863.75</v>
      </c>
      <c r="F15" s="5"/>
      <c r="G15" s="5">
        <f>'Series Detail'!T17-'Series Detail'!AD17</f>
        <v>56642851.299999997</v>
      </c>
      <c r="H15" s="5"/>
      <c r="I15" s="5">
        <f>'Series Detail'!U17-'Series Detail'!AE17</f>
        <v>0</v>
      </c>
      <c r="J15" s="5"/>
      <c r="K15" s="5">
        <f t="shared" si="0"/>
        <v>126468863.75</v>
      </c>
      <c r="L15" s="5"/>
      <c r="M15" s="5">
        <f>+K14+K15</f>
        <v>213731527.5</v>
      </c>
      <c r="N15" s="2"/>
      <c r="O15" s="2"/>
      <c r="P15" s="2"/>
      <c r="Q15" s="2"/>
      <c r="R15" s="2"/>
      <c r="S15" s="2"/>
      <c r="T15" s="2"/>
      <c r="U15" s="2"/>
    </row>
    <row r="16" spans="1:21" ht="13.9" x14ac:dyDescent="0.4">
      <c r="A16" s="8">
        <v>44910</v>
      </c>
      <c r="B16" s="8"/>
      <c r="C16" s="5">
        <f>'Series Detail'!R18-'Series Detail'!Y18-'Series Detail'!AA18</f>
        <v>49201020</v>
      </c>
      <c r="D16" s="5"/>
      <c r="E16" s="5">
        <f>'Series Detail'!S18-'Series Detail'!AC18</f>
        <v>33075180</v>
      </c>
      <c r="F16" s="5"/>
      <c r="G16" s="5">
        <f>'Series Detail'!T18-'Series Detail'!AD18</f>
        <v>40068980</v>
      </c>
      <c r="H16" s="5"/>
      <c r="I16" s="5">
        <f>'Series Detail'!U18-'Series Detail'!AE18</f>
        <v>0</v>
      </c>
      <c r="J16" s="5"/>
      <c r="K16" s="5">
        <f t="shared" si="0"/>
        <v>122345180</v>
      </c>
      <c r="L16" s="5"/>
      <c r="M16" s="4"/>
      <c r="N16" s="2"/>
      <c r="O16" s="2"/>
      <c r="P16" s="2"/>
      <c r="Q16" s="2"/>
      <c r="R16" s="2"/>
      <c r="S16" s="2"/>
      <c r="T16" s="2"/>
      <c r="U16" s="2"/>
    </row>
    <row r="17" spans="1:21" ht="13.9" x14ac:dyDescent="0.4">
      <c r="A17" s="8">
        <v>45092</v>
      </c>
      <c r="B17" s="8"/>
      <c r="C17" s="5">
        <f>'Series Detail'!R19-'Series Detail'!Y19-'Series Detail'!AA19</f>
        <v>28232993.099999998</v>
      </c>
      <c r="D17" s="5"/>
      <c r="E17" s="5">
        <f>'Series Detail'!S19-'Series Detail'!AC19</f>
        <v>32096005</v>
      </c>
      <c r="F17" s="5"/>
      <c r="G17" s="5">
        <f>'Series Detail'!T19-'Series Detail'!AD19</f>
        <v>21677006.900000002</v>
      </c>
      <c r="H17" s="5"/>
      <c r="I17" s="5">
        <f>'Series Detail'!U19-'Series Detail'!AE19</f>
        <v>0</v>
      </c>
      <c r="J17" s="5"/>
      <c r="K17" s="5">
        <f t="shared" si="0"/>
        <v>82006005</v>
      </c>
      <c r="L17" s="5"/>
      <c r="M17" s="5">
        <f>+K16+K17</f>
        <v>204351185</v>
      </c>
      <c r="N17" s="2"/>
      <c r="O17" s="2"/>
      <c r="P17" s="2"/>
      <c r="Q17" s="2"/>
      <c r="R17" s="2"/>
      <c r="S17" s="2"/>
      <c r="T17" s="2"/>
      <c r="U17" s="2"/>
    </row>
    <row r="18" spans="1:21" ht="13.9" x14ac:dyDescent="0.4">
      <c r="A18" s="8">
        <v>45275</v>
      </c>
      <c r="B18" s="8"/>
      <c r="C18" s="5">
        <f>'Series Detail'!R20-'Series Detail'!Y20-'Series Detail'!AA20</f>
        <v>19319366.600000001</v>
      </c>
      <c r="D18" s="5"/>
      <c r="E18" s="5">
        <f>'Series Detail'!S20-'Series Detail'!AC20</f>
        <v>31331475</v>
      </c>
      <c r="F18" s="5"/>
      <c r="G18" s="5">
        <f>'Series Detail'!T20-'Series Detail'!AD20</f>
        <v>97320633.400000006</v>
      </c>
      <c r="H18" s="5"/>
      <c r="I18" s="5">
        <f>'Series Detail'!U20-'Series Detail'!AE20</f>
        <v>0</v>
      </c>
      <c r="J18" s="5"/>
      <c r="K18" s="5">
        <f t="shared" si="0"/>
        <v>147971475</v>
      </c>
      <c r="L18" s="5"/>
      <c r="M18" s="4"/>
      <c r="N18" s="2"/>
      <c r="O18" s="2"/>
      <c r="P18" s="2"/>
      <c r="Q18" s="2"/>
      <c r="R18" s="2"/>
      <c r="S18" s="2"/>
      <c r="T18" s="2"/>
      <c r="U18" s="2"/>
    </row>
    <row r="19" spans="1:21" ht="13.9" x14ac:dyDescent="0.4">
      <c r="A19" s="8">
        <v>45458</v>
      </c>
      <c r="B19" s="8"/>
      <c r="C19" s="5">
        <f>'Series Detail'!R21-'Series Detail'!Y21-'Series Detail'!AA21</f>
        <v>20632146.500000004</v>
      </c>
      <c r="D19" s="5"/>
      <c r="E19" s="5">
        <f>'Series Detail'!S21-'Series Detail'!AC21</f>
        <v>31202362.5</v>
      </c>
      <c r="F19" s="5"/>
      <c r="G19" s="5">
        <f>'Series Detail'!T21-'Series Detail'!AD21</f>
        <v>30177853.5</v>
      </c>
      <c r="H19" s="5"/>
      <c r="I19" s="5">
        <f>'Series Detail'!U21-'Series Detail'!AE21</f>
        <v>0</v>
      </c>
      <c r="J19" s="5"/>
      <c r="K19" s="5">
        <f t="shared" si="0"/>
        <v>82012362.5</v>
      </c>
      <c r="L19" s="5"/>
      <c r="M19" s="5">
        <f>+K18+K19</f>
        <v>229983837.5</v>
      </c>
      <c r="N19" s="2"/>
      <c r="O19" s="2"/>
      <c r="P19" s="2"/>
      <c r="Q19" s="2"/>
      <c r="R19" s="2"/>
      <c r="S19" s="2"/>
      <c r="T19" s="2"/>
      <c r="U19" s="2"/>
    </row>
    <row r="20" spans="1:21" ht="13.9" x14ac:dyDescent="0.4">
      <c r="A20" s="8">
        <v>45641</v>
      </c>
      <c r="B20" s="8"/>
      <c r="C20" s="5">
        <f>'Series Detail'!R22-'Series Detail'!Y22-'Series Detail'!AA22</f>
        <v>17916601.25</v>
      </c>
      <c r="D20" s="5"/>
      <c r="E20" s="5">
        <f>'Series Detail'!S22-'Series Detail'!AC22</f>
        <v>30356657.5</v>
      </c>
      <c r="F20" s="5"/>
      <c r="G20" s="5">
        <f>'Series Detail'!T22-'Series Detail'!AD22</f>
        <v>92468398.75</v>
      </c>
      <c r="H20" s="5"/>
      <c r="I20" s="5">
        <f>'Series Detail'!U22-'Series Detail'!AE22</f>
        <v>0</v>
      </c>
      <c r="J20" s="5"/>
      <c r="K20" s="5">
        <f t="shared" si="0"/>
        <v>140741657.5</v>
      </c>
      <c r="L20" s="5"/>
      <c r="M20" s="4"/>
      <c r="N20" s="2"/>
      <c r="O20" s="2"/>
      <c r="P20" s="2"/>
      <c r="Q20" s="2"/>
      <c r="R20" s="2"/>
      <c r="S20" s="2"/>
      <c r="T20" s="2"/>
      <c r="U20" s="2"/>
    </row>
    <row r="21" spans="1:21" ht="13.9" x14ac:dyDescent="0.4">
      <c r="A21" s="8">
        <v>45823</v>
      </c>
      <c r="B21" s="8"/>
      <c r="C21" s="5">
        <f>'Series Detail'!R23-'Series Detail'!Y23-'Series Detail'!AA23</f>
        <v>24303549.200000003</v>
      </c>
      <c r="D21" s="5"/>
      <c r="E21" s="5">
        <f>'Series Detail'!S23-'Series Detail'!AC23</f>
        <v>30220257.5</v>
      </c>
      <c r="F21" s="5"/>
      <c r="G21" s="5">
        <f>'Series Detail'!T23-'Series Detail'!AD23</f>
        <v>34711450.800000004</v>
      </c>
      <c r="H21" s="5"/>
      <c r="I21" s="5">
        <f>'Series Detail'!U23-'Series Detail'!AE23</f>
        <v>0</v>
      </c>
      <c r="J21" s="5"/>
      <c r="K21" s="5">
        <f t="shared" si="0"/>
        <v>89235257.5</v>
      </c>
      <c r="L21" s="5"/>
      <c r="M21" s="5">
        <f>+K20+K21</f>
        <v>229976915</v>
      </c>
      <c r="N21" s="2"/>
      <c r="O21" s="2"/>
      <c r="P21" s="2"/>
      <c r="Q21" s="2"/>
      <c r="R21" s="2"/>
      <c r="S21" s="2"/>
      <c r="T21" s="2"/>
      <c r="U21" s="2"/>
    </row>
    <row r="22" spans="1:21" ht="13.9" x14ac:dyDescent="0.4">
      <c r="A22" s="8">
        <v>46006</v>
      </c>
      <c r="B22" s="8"/>
      <c r="C22" s="5">
        <f>'Series Detail'!R24-'Series Detail'!Y24-'Series Detail'!AA24</f>
        <v>15031644</v>
      </c>
      <c r="D22" s="5"/>
      <c r="E22" s="5">
        <f>'Series Detail'!S24-'Series Detail'!AC24</f>
        <v>29126275</v>
      </c>
      <c r="F22" s="5"/>
      <c r="G22" s="5">
        <f>'Series Detail'!T24-'Series Detail'!AD24</f>
        <v>60213356</v>
      </c>
      <c r="H22" s="5"/>
      <c r="I22" s="5">
        <f>'Series Detail'!U24-'Series Detail'!AE24</f>
        <v>0</v>
      </c>
      <c r="J22" s="5"/>
      <c r="K22" s="5">
        <f t="shared" si="0"/>
        <v>104371275</v>
      </c>
      <c r="L22" s="5"/>
      <c r="M22" s="4"/>
      <c r="N22" s="2"/>
      <c r="O22" s="2"/>
      <c r="P22" s="2"/>
      <c r="Q22" s="2"/>
      <c r="R22" s="2"/>
      <c r="S22" s="2"/>
      <c r="T22" s="2"/>
      <c r="U22" s="2"/>
    </row>
    <row r="23" spans="1:21" ht="13.9" x14ac:dyDescent="0.4">
      <c r="A23" s="8">
        <v>46188</v>
      </c>
      <c r="B23" s="8"/>
      <c r="C23" s="5">
        <f>'Series Detail'!R25-'Series Detail'!Y25-'Series Detail'!AA25</f>
        <v>46047485.400000006</v>
      </c>
      <c r="D23" s="5"/>
      <c r="E23" s="5">
        <f>'Series Detail'!S25-'Series Detail'!AC25</f>
        <v>28842062.5</v>
      </c>
      <c r="F23" s="5"/>
      <c r="G23" s="5">
        <f>'Series Detail'!T25-'Series Detail'!AD25</f>
        <v>51852514.599999994</v>
      </c>
      <c r="H23" s="5"/>
      <c r="I23" s="5">
        <f>'Series Detail'!U25-'Series Detail'!AE25</f>
        <v>0</v>
      </c>
      <c r="J23" s="5"/>
      <c r="K23" s="5">
        <f t="shared" si="0"/>
        <v>126742062.5</v>
      </c>
      <c r="L23" s="5"/>
      <c r="M23" s="5">
        <f>+K22+K23</f>
        <v>231113337.5</v>
      </c>
      <c r="N23" s="2"/>
      <c r="O23" s="2"/>
      <c r="P23" s="2"/>
      <c r="Q23" s="2"/>
      <c r="R23" s="2"/>
      <c r="S23" s="2"/>
      <c r="T23" s="2"/>
      <c r="U23" s="2"/>
    </row>
    <row r="24" spans="1:21" ht="13.9" x14ac:dyDescent="0.4">
      <c r="A24" s="8">
        <v>46371</v>
      </c>
      <c r="B24" s="8"/>
      <c r="C24" s="5">
        <f>'Series Detail'!R26-'Series Detail'!Y26-'Series Detail'!AA26</f>
        <v>71834290.400000006</v>
      </c>
      <c r="D24" s="5"/>
      <c r="E24" s="5">
        <f>'Series Detail'!S26-'Series Detail'!AC26</f>
        <v>27632575</v>
      </c>
      <c r="F24" s="5"/>
      <c r="G24" s="5">
        <f>'Series Detail'!T26-'Series Detail'!AD26</f>
        <v>39230709.600000001</v>
      </c>
      <c r="H24" s="5"/>
      <c r="I24" s="5">
        <f>'Series Detail'!U26-'Series Detail'!AE26</f>
        <v>0</v>
      </c>
      <c r="J24" s="5"/>
      <c r="K24" s="5">
        <f t="shared" si="0"/>
        <v>138697575</v>
      </c>
      <c r="L24" s="5"/>
      <c r="M24" s="4"/>
      <c r="N24" s="2"/>
      <c r="O24" s="2"/>
      <c r="P24" s="2"/>
      <c r="Q24" s="2"/>
      <c r="R24" s="2"/>
      <c r="S24" s="2"/>
      <c r="T24" s="2"/>
      <c r="U24" s="2"/>
    </row>
    <row r="25" spans="1:21" ht="13.9" x14ac:dyDescent="0.4">
      <c r="A25" s="8">
        <v>46553</v>
      </c>
      <c r="B25" s="8"/>
      <c r="C25" s="5">
        <f>'Series Detail'!R27-'Series Detail'!Y27-'Series Detail'!AA27</f>
        <v>36434934.099999994</v>
      </c>
      <c r="D25" s="5"/>
      <c r="E25" s="5">
        <f>'Series Detail'!S27-'Series Detail'!AC27</f>
        <v>25883125</v>
      </c>
      <c r="F25" s="5"/>
      <c r="G25" s="5">
        <f>'Series Detail'!T27-'Series Detail'!AD27</f>
        <v>43330065.899999999</v>
      </c>
      <c r="H25" s="5"/>
      <c r="I25" s="5">
        <f>'Series Detail'!U27-'Series Detail'!AE27</f>
        <v>0</v>
      </c>
      <c r="J25" s="5"/>
      <c r="K25" s="5">
        <f t="shared" si="0"/>
        <v>105648125</v>
      </c>
      <c r="L25" s="5"/>
      <c r="M25" s="5">
        <f>+K24+K25</f>
        <v>244345700</v>
      </c>
      <c r="N25" s="2"/>
      <c r="O25" s="2"/>
      <c r="P25" s="2"/>
      <c r="Q25" s="2"/>
      <c r="R25" s="2"/>
      <c r="S25" s="2"/>
      <c r="T25" s="2"/>
      <c r="U25" s="2"/>
    </row>
    <row r="26" spans="1:21" ht="13.9" x14ac:dyDescent="0.4">
      <c r="A26" s="8">
        <v>46736</v>
      </c>
      <c r="B26" s="8"/>
      <c r="C26" s="5">
        <f>'Series Detail'!R28-'Series Detail'!Y28-'Series Detail'!AA28</f>
        <v>112070000</v>
      </c>
      <c r="D26" s="5"/>
      <c r="E26" s="5">
        <f>'Series Detail'!S28-'Series Detail'!AC28</f>
        <v>25532087.5</v>
      </c>
      <c r="F26" s="5"/>
      <c r="G26" s="5">
        <f>'Series Detail'!T28-'Series Detail'!AD28</f>
        <v>0</v>
      </c>
      <c r="H26" s="5"/>
      <c r="I26" s="5">
        <f>'Series Detail'!U28-'Series Detail'!AE28</f>
        <v>0</v>
      </c>
      <c r="J26" s="5"/>
      <c r="K26" s="5">
        <f t="shared" si="0"/>
        <v>137602087.5</v>
      </c>
      <c r="L26" s="5"/>
      <c r="M26" s="4"/>
      <c r="N26" s="2"/>
      <c r="O26" s="2"/>
      <c r="P26" s="2"/>
      <c r="Q26" s="2"/>
      <c r="R26" s="2"/>
      <c r="S26" s="2"/>
      <c r="T26" s="2"/>
      <c r="U26" s="2"/>
    </row>
    <row r="27" spans="1:21" ht="13.9" x14ac:dyDescent="0.4">
      <c r="A27" s="8">
        <v>46919</v>
      </c>
      <c r="B27" s="8"/>
      <c r="C27" s="5">
        <f>'Series Detail'!R29-'Series Detail'!Y29-'Series Detail'!AA29</f>
        <v>15902687.300000001</v>
      </c>
      <c r="D27" s="5"/>
      <c r="E27" s="5">
        <f>'Series Detail'!S29-'Series Detail'!AC29</f>
        <v>22715750</v>
      </c>
      <c r="F27" s="5"/>
      <c r="G27" s="5">
        <f>'Series Detail'!T29-'Series Detail'!AD29</f>
        <v>83087312.700000003</v>
      </c>
      <c r="H27" s="5"/>
      <c r="I27" s="5">
        <f>'Series Detail'!U29-'Series Detail'!AE29</f>
        <v>0</v>
      </c>
      <c r="J27" s="5"/>
      <c r="K27" s="5">
        <f t="shared" si="0"/>
        <v>121705750</v>
      </c>
      <c r="L27" s="5"/>
      <c r="M27" s="5">
        <f>+K26+K27</f>
        <v>259307837.5</v>
      </c>
      <c r="N27" s="2"/>
      <c r="O27" s="2"/>
      <c r="P27" s="2"/>
      <c r="Q27" s="2"/>
      <c r="R27" s="2"/>
      <c r="S27" s="2"/>
      <c r="T27" s="2"/>
      <c r="U27" s="2"/>
    </row>
    <row r="28" spans="1:21" ht="13.9" x14ac:dyDescent="0.4">
      <c r="A28" s="8">
        <v>47102</v>
      </c>
      <c r="B28" s="8"/>
      <c r="C28" s="5">
        <f>'Series Detail'!R30-'Series Detail'!Y30-'Series Detail'!AA30</f>
        <v>133380000</v>
      </c>
      <c r="D28" s="5"/>
      <c r="E28" s="5">
        <f>'Series Detail'!S30-'Series Detail'!AC30</f>
        <v>22550887.5</v>
      </c>
      <c r="F28" s="5"/>
      <c r="G28" s="5">
        <f>'Series Detail'!T30-'Series Detail'!AD30</f>
        <v>0</v>
      </c>
      <c r="H28" s="5"/>
      <c r="I28" s="5">
        <f>'Series Detail'!U30-'Series Detail'!AE30</f>
        <v>0</v>
      </c>
      <c r="J28" s="5"/>
      <c r="K28" s="5">
        <f t="shared" si="0"/>
        <v>155930887.5</v>
      </c>
      <c r="L28" s="5"/>
      <c r="M28" s="4"/>
      <c r="N28" s="2"/>
      <c r="O28" s="2"/>
      <c r="P28" s="2"/>
      <c r="Q28" s="2"/>
      <c r="R28" s="2"/>
      <c r="S28" s="2"/>
      <c r="T28" s="2"/>
      <c r="U28" s="2"/>
    </row>
    <row r="29" spans="1:21" ht="13.9" x14ac:dyDescent="0.4">
      <c r="A29" s="8">
        <v>47284</v>
      </c>
      <c r="B29" s="8"/>
      <c r="C29" s="5">
        <f>'Series Detail'!R31-'Series Detail'!Y31-'Series Detail'!AA31</f>
        <v>15495321.300000001</v>
      </c>
      <c r="D29" s="5"/>
      <c r="E29" s="5">
        <f>'Series Detail'!S31-'Series Detail'!AC31</f>
        <v>19200987.5</v>
      </c>
      <c r="F29" s="5"/>
      <c r="G29" s="5">
        <f>'Series Detail'!T31-'Series Detail'!AD31</f>
        <v>83719678.700000003</v>
      </c>
      <c r="H29" s="5"/>
      <c r="I29" s="5">
        <f>'Series Detail'!U31-'Series Detail'!AE31</f>
        <v>0</v>
      </c>
      <c r="J29" s="5"/>
      <c r="K29" s="5">
        <f t="shared" si="0"/>
        <v>118415987.5</v>
      </c>
      <c r="L29" s="5"/>
      <c r="M29" s="5">
        <f>+K28+K29</f>
        <v>274346875</v>
      </c>
      <c r="N29" s="2"/>
      <c r="O29" s="2"/>
      <c r="P29" s="2"/>
      <c r="Q29" s="2"/>
      <c r="R29" s="2"/>
      <c r="S29" s="2"/>
      <c r="T29" s="2"/>
      <c r="U29" s="2"/>
    </row>
    <row r="30" spans="1:21" ht="13.9" x14ac:dyDescent="0.4">
      <c r="A30" s="8">
        <v>47467</v>
      </c>
      <c r="B30" s="8"/>
      <c r="C30" s="5">
        <f>'Series Detail'!R32-'Series Detail'!Y32-'Series Detail'!AA32</f>
        <v>6595539.0499999998</v>
      </c>
      <c r="D30" s="5"/>
      <c r="E30" s="5">
        <f>'Series Detail'!S32-'Series Detail'!AC32</f>
        <v>19029937.5</v>
      </c>
      <c r="F30" s="5"/>
      <c r="G30" s="5">
        <f>'Series Detail'!T32-'Series Detail'!AD32</f>
        <v>155099460.94999999</v>
      </c>
      <c r="H30" s="5"/>
      <c r="I30" s="5">
        <f>'Series Detail'!U32-'Series Detail'!AE32</f>
        <v>0</v>
      </c>
      <c r="J30" s="5"/>
      <c r="K30" s="5">
        <f t="shared" si="0"/>
        <v>180724937.5</v>
      </c>
      <c r="L30" s="5"/>
      <c r="M30" s="4"/>
      <c r="N30" s="2"/>
      <c r="O30" s="2"/>
      <c r="P30" s="2"/>
      <c r="Q30" s="2"/>
      <c r="R30" s="2"/>
      <c r="S30" s="2"/>
      <c r="T30" s="2"/>
      <c r="U30" s="2"/>
    </row>
    <row r="31" spans="1:21" ht="13.9" x14ac:dyDescent="0.4">
      <c r="A31" s="8">
        <v>47649</v>
      </c>
      <c r="B31" s="8"/>
      <c r="C31" s="5">
        <f>'Series Detail'!R33-'Series Detail'!Y33-'Series Detail'!AA33</f>
        <v>3486095.6</v>
      </c>
      <c r="D31" s="5"/>
      <c r="E31" s="5">
        <f>'Series Detail'!S33-'Series Detail'!AC33</f>
        <v>19029937.5</v>
      </c>
      <c r="F31" s="5"/>
      <c r="G31" s="5">
        <f>'Series Detail'!T33-'Series Detail'!AD33</f>
        <v>87108904.400000006</v>
      </c>
      <c r="H31" s="5"/>
      <c r="I31" s="5">
        <f>'Series Detail'!U33-'Series Detail'!AE33</f>
        <v>0</v>
      </c>
      <c r="J31" s="5"/>
      <c r="K31" s="5">
        <f t="shared" si="0"/>
        <v>109624937.5</v>
      </c>
      <c r="L31" s="5"/>
      <c r="M31" s="5">
        <f>+K30+K31</f>
        <v>290349875</v>
      </c>
      <c r="N31" s="2"/>
      <c r="O31" s="2"/>
      <c r="P31" s="2"/>
      <c r="Q31" s="2"/>
      <c r="R31" s="2"/>
      <c r="S31" s="2"/>
      <c r="T31" s="2"/>
      <c r="U31" s="2"/>
    </row>
    <row r="32" spans="1:21" ht="13.9" x14ac:dyDescent="0.4">
      <c r="A32" s="8">
        <v>47832</v>
      </c>
      <c r="B32" s="8"/>
      <c r="C32" s="5">
        <f>'Series Detail'!R34-'Series Detail'!Y34-'Series Detail'!AA34</f>
        <v>12504528.5</v>
      </c>
      <c r="D32" s="5"/>
      <c r="E32" s="5">
        <f>'Series Detail'!S34-'Series Detail'!AC34</f>
        <v>19029937.5</v>
      </c>
      <c r="F32" s="5"/>
      <c r="G32" s="5">
        <f>'Series Detail'!T34-'Series Detail'!AD34</f>
        <v>155825471.5</v>
      </c>
      <c r="H32" s="5"/>
      <c r="I32" s="5">
        <f>'Series Detail'!U34-'Series Detail'!AE34</f>
        <v>0</v>
      </c>
      <c r="J32" s="5"/>
      <c r="K32" s="5">
        <f t="shared" si="0"/>
        <v>187359937.5</v>
      </c>
      <c r="L32" s="5"/>
      <c r="M32" s="4"/>
      <c r="N32" s="2"/>
      <c r="O32" s="2"/>
      <c r="P32" s="2"/>
      <c r="Q32" s="2"/>
      <c r="R32" s="2"/>
      <c r="S32" s="2"/>
      <c r="T32" s="2"/>
      <c r="U32" s="2"/>
    </row>
    <row r="33" spans="1:21" ht="13.9" x14ac:dyDescent="0.4">
      <c r="A33" s="8">
        <v>48014</v>
      </c>
      <c r="B33" s="8"/>
      <c r="C33" s="5">
        <f>'Series Detail'!R35-'Series Detail'!Y35-'Series Detail'!AA35</f>
        <v>3716425.6</v>
      </c>
      <c r="D33" s="5"/>
      <c r="E33" s="5">
        <f>'Series Detail'!S35-'Series Detail'!AC35</f>
        <v>18864062.5</v>
      </c>
      <c r="F33" s="5"/>
      <c r="G33" s="5">
        <f>'Series Detail'!T35-'Series Detail'!AD35</f>
        <v>92413574.400000006</v>
      </c>
      <c r="H33" s="5"/>
      <c r="I33" s="5">
        <f>'Series Detail'!U35-'Series Detail'!AE35</f>
        <v>0</v>
      </c>
      <c r="J33" s="5"/>
      <c r="K33" s="5">
        <f t="shared" si="0"/>
        <v>114994062.5</v>
      </c>
      <c r="L33" s="5"/>
      <c r="M33" s="5">
        <f>+K32+K33</f>
        <v>302354000</v>
      </c>
      <c r="N33" s="2"/>
      <c r="O33" s="2"/>
      <c r="P33" s="2"/>
      <c r="Q33" s="2"/>
      <c r="R33" s="2"/>
      <c r="S33" s="2"/>
      <c r="T33" s="2"/>
      <c r="U33" s="2"/>
    </row>
    <row r="34" spans="1:21" ht="13.9" x14ac:dyDescent="0.4">
      <c r="A34" s="8">
        <v>48197</v>
      </c>
      <c r="B34" s="8"/>
      <c r="C34" s="5">
        <f>'Series Detail'!R36-'Series Detail'!Y36-'Series Detail'!AA36</f>
        <v>9249365.4499999993</v>
      </c>
      <c r="D34" s="5"/>
      <c r="E34" s="5">
        <f>'Series Detail'!S36-'Series Detail'!AC36</f>
        <v>20273813.75</v>
      </c>
      <c r="F34" s="5"/>
      <c r="G34" s="5">
        <f>'Series Detail'!T36-'Series Detail'!AD36</f>
        <v>156470634.55000001</v>
      </c>
      <c r="H34" s="5"/>
      <c r="I34" s="5">
        <f>'Series Detail'!U36-'Series Detail'!AE36</f>
        <v>0</v>
      </c>
      <c r="J34" s="5"/>
      <c r="K34" s="5">
        <f t="shared" si="0"/>
        <v>185993813.75</v>
      </c>
      <c r="L34" s="5"/>
      <c r="M34" s="4"/>
      <c r="N34" s="2"/>
      <c r="O34" s="2"/>
      <c r="P34" s="2"/>
      <c r="Q34" s="2"/>
      <c r="R34" s="2"/>
      <c r="S34" s="2"/>
      <c r="T34" s="2"/>
      <c r="U34" s="2"/>
    </row>
    <row r="35" spans="1:21" ht="13.9" x14ac:dyDescent="0.4">
      <c r="A35" s="8">
        <v>48380</v>
      </c>
      <c r="B35" s="8"/>
      <c r="C35" s="5">
        <f>'Series Detail'!R37-'Series Detail'!Y37-'Series Detail'!AA37</f>
        <v>3401631.2</v>
      </c>
      <c r="D35" s="5"/>
      <c r="E35" s="5">
        <f>'Series Detail'!S37-'Series Detail'!AC37</f>
        <v>20173188.75</v>
      </c>
      <c r="F35" s="5"/>
      <c r="G35" s="5">
        <f>'Series Detail'!T37-'Series Detail'!AD37</f>
        <v>92773368.799999997</v>
      </c>
      <c r="H35" s="5"/>
      <c r="I35" s="5">
        <f>'Series Detail'!U37-'Series Detail'!AE37</f>
        <v>0</v>
      </c>
      <c r="J35" s="5"/>
      <c r="K35" s="5">
        <f t="shared" si="0"/>
        <v>116348188.75</v>
      </c>
      <c r="L35" s="5"/>
      <c r="M35" s="5">
        <f>+K34+K35</f>
        <v>302342002.5</v>
      </c>
      <c r="N35" s="2"/>
      <c r="O35" s="2"/>
      <c r="P35" s="2"/>
      <c r="Q35" s="2"/>
      <c r="R35" s="2"/>
      <c r="S35" s="2"/>
      <c r="T35" s="2"/>
      <c r="U35" s="2"/>
    </row>
    <row r="36" spans="1:21" ht="13.9" x14ac:dyDescent="0.4">
      <c r="A36" s="8">
        <v>48563</v>
      </c>
      <c r="B36" s="8"/>
      <c r="C36" s="5">
        <f>'Series Detail'!R38-'Series Detail'!Y38-'Series Detail'!AA38</f>
        <v>8868731.25</v>
      </c>
      <c r="D36" s="5"/>
      <c r="E36" s="5">
        <f>'Series Detail'!S38-'Series Detail'!AC38</f>
        <v>20161063.75</v>
      </c>
      <c r="F36" s="5"/>
      <c r="G36" s="5">
        <f>'Series Detail'!T38-'Series Detail'!AD38</f>
        <v>157046268.75</v>
      </c>
      <c r="H36" s="5"/>
      <c r="I36" s="5">
        <f>'Series Detail'!U38-'Series Detail'!AE38</f>
        <v>0</v>
      </c>
      <c r="J36" s="5"/>
      <c r="K36" s="5">
        <f t="shared" si="0"/>
        <v>186076063.75</v>
      </c>
      <c r="L36" s="5"/>
      <c r="M36" s="4"/>
      <c r="N36" s="2"/>
      <c r="O36" s="2"/>
      <c r="P36" s="2"/>
      <c r="Q36" s="2"/>
      <c r="R36" s="2"/>
      <c r="S36" s="2"/>
      <c r="T36" s="2"/>
      <c r="U36" s="2"/>
    </row>
    <row r="37" spans="1:21" ht="13.9" x14ac:dyDescent="0.4">
      <c r="A37" s="8">
        <v>48745</v>
      </c>
      <c r="B37" s="8"/>
      <c r="C37" s="5">
        <f>'Series Detail'!R39-'Series Detail'!Y39-'Series Detail'!AA39</f>
        <v>3130112.8</v>
      </c>
      <c r="D37" s="5"/>
      <c r="E37" s="5">
        <f>'Series Detail'!S39-'Series Detail'!AC39</f>
        <v>20055563.75</v>
      </c>
      <c r="F37" s="5"/>
      <c r="G37" s="5">
        <f>'Series Detail'!T39-'Series Detail'!AD39</f>
        <v>93094887.200000003</v>
      </c>
      <c r="H37" s="5"/>
      <c r="I37" s="5">
        <f>'Series Detail'!U39-'Series Detail'!AE39</f>
        <v>0</v>
      </c>
      <c r="J37" s="5"/>
      <c r="K37" s="5">
        <f t="shared" si="0"/>
        <v>116280563.75</v>
      </c>
      <c r="L37" s="5"/>
      <c r="M37" s="5">
        <f>+K36+K37</f>
        <v>302356627.5</v>
      </c>
      <c r="N37" s="2"/>
      <c r="O37" s="2"/>
      <c r="P37" s="2"/>
      <c r="Q37" s="2"/>
      <c r="R37" s="2"/>
      <c r="S37" s="2"/>
      <c r="T37" s="2"/>
      <c r="U37" s="2"/>
    </row>
    <row r="38" spans="1:21" ht="13.9" x14ac:dyDescent="0.4">
      <c r="A38" s="8">
        <v>48928</v>
      </c>
      <c r="B38" s="8"/>
      <c r="C38" s="5">
        <f>'Series Detail'!R40-'Series Detail'!Y40-'Series Detail'!AA40</f>
        <v>8542775.0500000007</v>
      </c>
      <c r="D38" s="5"/>
      <c r="E38" s="5">
        <f>'Series Detail'!S40-'Series Detail'!AC40</f>
        <v>20042188.75</v>
      </c>
      <c r="F38" s="5"/>
      <c r="G38" s="5">
        <f>'Series Detail'!T40-'Series Detail'!AD40</f>
        <v>157557224.94999999</v>
      </c>
      <c r="H38" s="5"/>
      <c r="I38" s="5">
        <f>'Series Detail'!U40-'Series Detail'!AE40</f>
        <v>0</v>
      </c>
      <c r="J38" s="5"/>
      <c r="K38" s="5">
        <f t="shared" si="0"/>
        <v>186142188.75</v>
      </c>
      <c r="L38" s="5"/>
      <c r="M38" s="4"/>
      <c r="N38" s="2"/>
      <c r="O38" s="2"/>
      <c r="P38" s="2"/>
      <c r="Q38" s="2"/>
      <c r="R38" s="2"/>
      <c r="S38" s="2"/>
      <c r="T38" s="2"/>
      <c r="U38" s="2"/>
    </row>
    <row r="39" spans="1:21" ht="13.9" x14ac:dyDescent="0.4">
      <c r="A39" s="8">
        <v>49110</v>
      </c>
      <c r="B39" s="8"/>
      <c r="C39" s="5">
        <f>'Series Detail'!R41-'Series Detail'!Y41-'Series Detail'!AA41</f>
        <v>2889956.6</v>
      </c>
      <c r="D39" s="5"/>
      <c r="E39" s="5">
        <f>'Series Detail'!S41-'Series Detail'!AC41</f>
        <v>19932063.75</v>
      </c>
      <c r="F39" s="5"/>
      <c r="G39" s="5">
        <f>'Series Detail'!T41-'Series Detail'!AD41</f>
        <v>93380043.400000006</v>
      </c>
      <c r="H39" s="5"/>
      <c r="I39" s="5">
        <f>'Series Detail'!U41-'Series Detail'!AE41</f>
        <v>0</v>
      </c>
      <c r="J39" s="5"/>
      <c r="K39" s="5">
        <f t="shared" si="0"/>
        <v>116202063.75</v>
      </c>
      <c r="L39" s="5"/>
      <c r="M39" s="5">
        <f>+K38+K39</f>
        <v>302344252.5</v>
      </c>
      <c r="N39" s="2"/>
      <c r="O39" s="2"/>
      <c r="P39" s="2"/>
      <c r="Q39" s="2"/>
      <c r="R39" s="2"/>
      <c r="S39" s="2"/>
      <c r="T39" s="2"/>
      <c r="U39" s="2"/>
    </row>
    <row r="40" spans="1:21" ht="13.9" x14ac:dyDescent="0.4">
      <c r="A40" s="8">
        <v>49293</v>
      </c>
      <c r="B40" s="8"/>
      <c r="C40" s="5">
        <f>'Series Detail'!R42-'Series Detail'!Y42-'Series Detail'!AA42</f>
        <v>8301795.1500000004</v>
      </c>
      <c r="D40" s="5"/>
      <c r="E40" s="5">
        <f>'Series Detail'!S42-'Series Detail'!AC42</f>
        <v>19917563.75</v>
      </c>
      <c r="F40" s="5"/>
      <c r="G40" s="5">
        <f>'Series Detail'!T42-'Series Detail'!AD42</f>
        <v>158013204.84999999</v>
      </c>
      <c r="H40" s="5"/>
      <c r="I40" s="5">
        <f>'Series Detail'!U42-'Series Detail'!AE42</f>
        <v>0</v>
      </c>
      <c r="J40" s="5"/>
      <c r="K40" s="5">
        <f t="shared" si="0"/>
        <v>186232563.75</v>
      </c>
      <c r="L40" s="5"/>
      <c r="M40" s="4"/>
      <c r="N40" s="2"/>
      <c r="O40" s="2"/>
      <c r="P40" s="2"/>
      <c r="Q40" s="2"/>
      <c r="R40" s="2"/>
      <c r="S40" s="2"/>
      <c r="T40" s="2"/>
      <c r="U40" s="2"/>
    </row>
    <row r="41" spans="1:21" ht="13.9" x14ac:dyDescent="0.4">
      <c r="A41" s="8">
        <v>49475</v>
      </c>
      <c r="B41" s="8"/>
      <c r="C41" s="5">
        <f>'Series Detail'!R43-'Series Detail'!Y43-'Series Detail'!AA43</f>
        <v>2685421.2</v>
      </c>
      <c r="D41" s="5"/>
      <c r="E41" s="5">
        <f>'Series Detail'!S43-'Series Detail'!AC43</f>
        <v>19802063.75</v>
      </c>
      <c r="F41" s="5"/>
      <c r="G41" s="5">
        <f>'Series Detail'!T43-'Series Detail'!AD43</f>
        <v>93634578.799999997</v>
      </c>
      <c r="H41" s="5"/>
      <c r="I41" s="5">
        <f>'Series Detail'!U43-'Series Detail'!AE43</f>
        <v>0</v>
      </c>
      <c r="J41" s="5"/>
      <c r="K41" s="5">
        <f t="shared" si="0"/>
        <v>116122063.75</v>
      </c>
      <c r="L41" s="5"/>
      <c r="M41" s="5">
        <f>+K40+K41</f>
        <v>302354627.5</v>
      </c>
      <c r="N41" s="2"/>
      <c r="O41" s="2"/>
      <c r="P41" s="2"/>
      <c r="Q41" s="2"/>
      <c r="R41" s="2"/>
      <c r="S41" s="2"/>
      <c r="T41" s="2"/>
      <c r="U41" s="2"/>
    </row>
    <row r="42" spans="1:21" ht="13.9" x14ac:dyDescent="0.4">
      <c r="A42" s="8">
        <v>49658</v>
      </c>
      <c r="B42" s="8"/>
      <c r="C42" s="5">
        <f>'Series Detail'!R44-'Series Detail'!Y44-'Series Detail'!AA44</f>
        <v>6555709.0499999998</v>
      </c>
      <c r="D42" s="5"/>
      <c r="E42" s="5">
        <f>'Series Detail'!S44-'Series Detail'!AC44</f>
        <v>19786313.75</v>
      </c>
      <c r="F42" s="5"/>
      <c r="G42" s="5">
        <f>'Series Detail'!T44-'Series Detail'!AD44</f>
        <v>159959290.94999999</v>
      </c>
      <c r="H42" s="5"/>
      <c r="I42" s="5">
        <f>'Series Detail'!U44-'Series Detail'!AE44</f>
        <v>0</v>
      </c>
      <c r="J42" s="5"/>
      <c r="K42" s="5">
        <f t="shared" si="0"/>
        <v>186301313.75</v>
      </c>
      <c r="L42" s="5"/>
      <c r="M42" s="4"/>
      <c r="N42" s="2"/>
      <c r="O42" s="2"/>
      <c r="P42" s="2"/>
      <c r="Q42" s="2"/>
      <c r="R42" s="2"/>
      <c r="S42" s="2"/>
      <c r="T42" s="2"/>
      <c r="U42" s="2"/>
    </row>
    <row r="43" spans="1:21" ht="13.9" x14ac:dyDescent="0.4">
      <c r="A43" s="8">
        <v>49841</v>
      </c>
      <c r="B43" s="8"/>
      <c r="C43" s="5">
        <f>'Series Detail'!R45-'Series Detail'!Y45-'Series Detail'!AA45</f>
        <v>2514592.7999999998</v>
      </c>
      <c r="D43" s="5"/>
      <c r="E43" s="5">
        <f>'Series Detail'!S45-'Series Detail'!AC45</f>
        <v>19670771.25</v>
      </c>
      <c r="F43" s="5"/>
      <c r="G43" s="5">
        <f>'Series Detail'!T45-'Series Detail'!AD45</f>
        <v>93860407.200000003</v>
      </c>
      <c r="H43" s="5"/>
      <c r="I43" s="5">
        <f>'Series Detail'!U45-'Series Detail'!AE45</f>
        <v>0</v>
      </c>
      <c r="J43" s="5"/>
      <c r="K43" s="5">
        <f t="shared" si="0"/>
        <v>116045771.25</v>
      </c>
      <c r="L43" s="5"/>
      <c r="M43" s="5">
        <f>+K42+K43</f>
        <v>302347085</v>
      </c>
      <c r="N43" s="2"/>
      <c r="O43" s="2"/>
      <c r="P43" s="2"/>
      <c r="Q43" s="2"/>
      <c r="R43" s="2"/>
      <c r="S43" s="2"/>
      <c r="T43" s="2"/>
      <c r="U43" s="2"/>
    </row>
    <row r="44" spans="1:21" ht="13.9" x14ac:dyDescent="0.4">
      <c r="A44" s="8">
        <v>50024</v>
      </c>
      <c r="B44" s="8"/>
      <c r="C44" s="5">
        <f>'Series Detail'!R46-'Series Detail'!Y46-'Series Detail'!AA46</f>
        <v>6338153.4000000004</v>
      </c>
      <c r="D44" s="5"/>
      <c r="E44" s="5">
        <f>'Series Detail'!S46-'Series Detail'!AC46</f>
        <v>19653646.25</v>
      </c>
      <c r="F44" s="5"/>
      <c r="G44" s="5">
        <f>'Series Detail'!T46-'Series Detail'!AD46</f>
        <v>160396846.59999999</v>
      </c>
      <c r="H44" s="5"/>
      <c r="I44" s="5">
        <f>'Series Detail'!U46-'Series Detail'!AE46</f>
        <v>0</v>
      </c>
      <c r="J44" s="5"/>
      <c r="K44" s="5">
        <f t="shared" si="0"/>
        <v>186388646.25</v>
      </c>
      <c r="L44" s="5"/>
      <c r="M44" s="4"/>
      <c r="N44" s="2"/>
      <c r="O44" s="2"/>
      <c r="P44" s="2"/>
      <c r="Q44" s="2"/>
      <c r="R44" s="2"/>
      <c r="S44" s="2"/>
      <c r="T44" s="2"/>
      <c r="U44" s="2"/>
    </row>
    <row r="45" spans="1:21" ht="13.9" x14ac:dyDescent="0.4">
      <c r="A45" s="8">
        <v>50206</v>
      </c>
      <c r="B45" s="8"/>
      <c r="C45" s="5">
        <f>'Series Detail'!R47-'Series Detail'!Y47-'Series Detail'!AA47</f>
        <v>2368643.7999999998</v>
      </c>
      <c r="D45" s="5"/>
      <c r="E45" s="5">
        <f>'Series Detail'!S47-'Series Detail'!AC47</f>
        <v>19532851.25</v>
      </c>
      <c r="F45" s="5"/>
      <c r="G45" s="5">
        <f>'Series Detail'!T47-'Series Detail'!AD47</f>
        <v>94061356.200000003</v>
      </c>
      <c r="H45" s="5"/>
      <c r="I45" s="5">
        <f>'Series Detail'!U47-'Series Detail'!AE47</f>
        <v>0</v>
      </c>
      <c r="J45" s="5"/>
      <c r="K45" s="5">
        <f t="shared" si="0"/>
        <v>115962851.25</v>
      </c>
      <c r="L45" s="5"/>
      <c r="M45" s="5">
        <f>+K44+K45</f>
        <v>302351497.5</v>
      </c>
      <c r="N45" s="2"/>
      <c r="O45" s="2"/>
      <c r="P45" s="2"/>
      <c r="Q45" s="2"/>
      <c r="R45" s="2"/>
      <c r="S45" s="2"/>
      <c r="T45" s="2"/>
      <c r="U45" s="2"/>
    </row>
    <row r="46" spans="1:21" ht="13.9" x14ac:dyDescent="0.4">
      <c r="A46" s="8">
        <v>50389</v>
      </c>
      <c r="B46" s="8"/>
      <c r="C46" s="5">
        <f>'Series Detail'!R48-'Series Detail'!Y48-'Series Detail'!AA48</f>
        <v>6159404.5499999998</v>
      </c>
      <c r="D46" s="5"/>
      <c r="E46" s="5">
        <f>'Series Detail'!S48-'Series Detail'!AC48</f>
        <v>19514351.25</v>
      </c>
      <c r="F46" s="5"/>
      <c r="G46" s="5">
        <f>'Series Detail'!T48-'Series Detail'!AD48</f>
        <v>160795595.44999999</v>
      </c>
      <c r="H46" s="5"/>
      <c r="I46" s="5">
        <f>'Series Detail'!U48-'Series Detail'!AE48</f>
        <v>0</v>
      </c>
      <c r="J46" s="5"/>
      <c r="K46" s="5">
        <f t="shared" si="0"/>
        <v>186469351.25</v>
      </c>
      <c r="L46" s="5"/>
      <c r="M46" s="4"/>
      <c r="N46" s="2"/>
      <c r="O46" s="2"/>
      <c r="P46" s="2"/>
      <c r="Q46" s="2"/>
      <c r="R46" s="2"/>
      <c r="S46" s="2"/>
      <c r="T46" s="2"/>
      <c r="U46" s="2"/>
    </row>
    <row r="47" spans="1:21" ht="13.9" x14ac:dyDescent="0.4">
      <c r="A47" s="8">
        <v>50571</v>
      </c>
      <c r="B47" s="8"/>
      <c r="C47" s="5">
        <f>'Series Detail'!R49-'Series Detail'!Y49-'Series Detail'!AA49</f>
        <v>2248746.6</v>
      </c>
      <c r="D47" s="5"/>
      <c r="E47" s="5">
        <f>'Series Detail'!S49-'Series Detail'!AC49</f>
        <v>19388303.75</v>
      </c>
      <c r="F47" s="5"/>
      <c r="G47" s="5">
        <f>'Series Detail'!T49-'Series Detail'!AD49</f>
        <v>94241253.400000006</v>
      </c>
      <c r="H47" s="5"/>
      <c r="I47" s="5">
        <f>'Series Detail'!U49-'Series Detail'!AE49</f>
        <v>0</v>
      </c>
      <c r="J47" s="5"/>
      <c r="K47" s="5">
        <f t="shared" si="0"/>
        <v>115878303.75</v>
      </c>
      <c r="L47" s="5"/>
      <c r="M47" s="5">
        <f>+K46+K47</f>
        <v>302347655</v>
      </c>
      <c r="N47" s="2"/>
      <c r="O47" s="2"/>
      <c r="P47" s="2"/>
      <c r="Q47" s="2"/>
      <c r="R47" s="2"/>
      <c r="S47" s="2"/>
      <c r="T47" s="2"/>
      <c r="U47" s="2"/>
    </row>
    <row r="48" spans="1:21" ht="13.9" x14ac:dyDescent="0.4">
      <c r="A48" s="8">
        <v>50754</v>
      </c>
      <c r="B48" s="8"/>
      <c r="C48" s="5">
        <f>'Series Detail'!R50-'Series Detail'!Y50-'Series Detail'!AA50</f>
        <v>5990942.8499999996</v>
      </c>
      <c r="D48" s="5"/>
      <c r="E48" s="5">
        <f>'Series Detail'!S50-'Series Detail'!AC50</f>
        <v>19368303.75</v>
      </c>
      <c r="F48" s="5"/>
      <c r="G48" s="5">
        <f>'Series Detail'!T50-'Series Detail'!AD50</f>
        <v>161204057.14999998</v>
      </c>
      <c r="H48" s="5"/>
      <c r="I48" s="5">
        <f>'Series Detail'!U50-'Series Detail'!AE50</f>
        <v>0</v>
      </c>
      <c r="J48" s="5"/>
      <c r="K48" s="5">
        <f t="shared" si="0"/>
        <v>186563303.74999997</v>
      </c>
      <c r="L48" s="5"/>
      <c r="M48" s="4"/>
      <c r="N48" s="2"/>
      <c r="O48" s="2"/>
      <c r="P48" s="2"/>
      <c r="Q48" s="2"/>
      <c r="R48" s="2"/>
      <c r="S48" s="2"/>
      <c r="T48" s="2"/>
      <c r="U48" s="2"/>
    </row>
    <row r="49" spans="1:21" ht="13.9" x14ac:dyDescent="0.4">
      <c r="A49" s="8">
        <v>50936</v>
      </c>
      <c r="B49" s="8"/>
      <c r="C49" s="5">
        <f>'Series Detail'!R51-'Series Detail'!Y51-'Series Detail'!AA51</f>
        <v>2154901.2000000002</v>
      </c>
      <c r="D49" s="5"/>
      <c r="E49" s="5">
        <f>'Series Detail'!S51-'Series Detail'!AC51</f>
        <v>19233665</v>
      </c>
      <c r="F49" s="5"/>
      <c r="G49" s="5">
        <f>'Series Detail'!T51-'Series Detail'!AD51</f>
        <v>94400098.799999997</v>
      </c>
      <c r="H49" s="5"/>
      <c r="I49" s="5">
        <f>'Series Detail'!U51-'Series Detail'!AE51</f>
        <v>0</v>
      </c>
      <c r="J49" s="5"/>
      <c r="K49" s="5">
        <f t="shared" si="0"/>
        <v>115788665</v>
      </c>
      <c r="L49" s="5"/>
      <c r="M49" s="5">
        <f>+K48+K49</f>
        <v>302351968.75</v>
      </c>
      <c r="N49" s="2"/>
      <c r="O49" s="2"/>
      <c r="P49" s="2"/>
      <c r="Q49" s="2"/>
      <c r="R49" s="2"/>
      <c r="S49" s="2"/>
      <c r="T49" s="2"/>
      <c r="U49" s="2"/>
    </row>
    <row r="50" spans="1:21" ht="13.9" x14ac:dyDescent="0.4">
      <c r="A50" s="8">
        <v>51119</v>
      </c>
      <c r="B50" s="8"/>
      <c r="C50" s="5">
        <f>'Series Detail'!R52-'Series Detail'!Y52-'Series Detail'!AA52</f>
        <v>5897223.4500000002</v>
      </c>
      <c r="D50" s="5"/>
      <c r="E50" s="5">
        <f>'Series Detail'!S52-'Series Detail'!AC52</f>
        <v>19212040</v>
      </c>
      <c r="F50" s="5"/>
      <c r="G50" s="5">
        <f>'Series Detail'!T52-'Series Detail'!AD52</f>
        <v>161547776.55000001</v>
      </c>
      <c r="H50" s="5"/>
      <c r="I50" s="5">
        <f>'Series Detail'!U52-'Series Detail'!AE52</f>
        <v>0</v>
      </c>
      <c r="J50" s="5"/>
      <c r="K50" s="5">
        <f t="shared" si="0"/>
        <v>186657040</v>
      </c>
      <c r="L50" s="5"/>
      <c r="M50" s="4"/>
      <c r="N50" s="2"/>
      <c r="O50" s="2"/>
      <c r="P50" s="2"/>
      <c r="Q50" s="2"/>
      <c r="R50" s="2"/>
      <c r="S50" s="2"/>
      <c r="T50" s="2"/>
      <c r="U50" s="2"/>
    </row>
    <row r="51" spans="1:21" ht="13.9" x14ac:dyDescent="0.4">
      <c r="A51" s="8">
        <v>51302</v>
      </c>
      <c r="B51" s="8"/>
      <c r="C51" s="5">
        <f>'Series Detail'!R53-'Series Detail'!Y53-'Series Detail'!AA53</f>
        <v>2077323.1</v>
      </c>
      <c r="D51" s="5"/>
      <c r="E51" s="5">
        <f>'Series Detail'!S53-'Series Detail'!AC53</f>
        <v>19071290</v>
      </c>
      <c r="F51" s="5"/>
      <c r="G51" s="5">
        <f>'Series Detail'!T53-'Series Detail'!AD53</f>
        <v>94542676.900000006</v>
      </c>
      <c r="H51" s="5"/>
      <c r="I51" s="5">
        <f>'Series Detail'!U53-'Series Detail'!AE53</f>
        <v>0</v>
      </c>
      <c r="J51" s="5"/>
      <c r="K51" s="5">
        <f t="shared" si="0"/>
        <v>115691290</v>
      </c>
      <c r="L51" s="5"/>
      <c r="M51" s="5">
        <f>+K50+K51</f>
        <v>302348330</v>
      </c>
      <c r="N51" s="2"/>
      <c r="O51" s="2"/>
      <c r="P51" s="2"/>
      <c r="Q51" s="2"/>
      <c r="R51" s="2"/>
      <c r="S51" s="2"/>
      <c r="T51" s="2"/>
      <c r="U51" s="2"/>
    </row>
    <row r="52" spans="1:21" ht="13.9" x14ac:dyDescent="0.4">
      <c r="A52" s="8">
        <v>51485</v>
      </c>
      <c r="B52" s="8"/>
      <c r="C52" s="5">
        <f>'Series Detail'!R54-'Series Detail'!Y54-'Series Detail'!AA54</f>
        <v>5842839.3499999996</v>
      </c>
      <c r="D52" s="5"/>
      <c r="E52" s="5">
        <f>'Series Detail'!S54-'Series Detail'!AC54</f>
        <v>19048040</v>
      </c>
      <c r="F52" s="5"/>
      <c r="G52" s="5">
        <f>'Series Detail'!T54-'Series Detail'!AD54</f>
        <v>161867160.65000001</v>
      </c>
      <c r="H52" s="5"/>
      <c r="I52" s="5">
        <f>'Series Detail'!U54-'Series Detail'!AE54</f>
        <v>0</v>
      </c>
      <c r="J52" s="5"/>
      <c r="K52" s="5">
        <f t="shared" si="0"/>
        <v>186758040</v>
      </c>
      <c r="L52" s="5"/>
      <c r="M52" s="4"/>
      <c r="N52" s="2"/>
      <c r="O52" s="2"/>
      <c r="P52" s="2"/>
      <c r="Q52" s="2"/>
      <c r="R52" s="2"/>
      <c r="S52" s="2"/>
      <c r="T52" s="2"/>
      <c r="U52" s="2"/>
    </row>
    <row r="53" spans="1:21" ht="13.9" x14ac:dyDescent="0.4">
      <c r="A53" s="8">
        <v>51667</v>
      </c>
      <c r="B53" s="8"/>
      <c r="C53" s="5">
        <f>'Series Detail'!R55-'Series Detail'!Y55-'Series Detail'!AA55</f>
        <v>14792558</v>
      </c>
      <c r="D53" s="5"/>
      <c r="E53" s="5">
        <f>'Series Detail'!S55-'Series Detail'!AC55</f>
        <v>18900811.25</v>
      </c>
      <c r="F53" s="5"/>
      <c r="G53" s="5">
        <f>'Series Detail'!T55-'Series Detail'!AD55</f>
        <v>81897298.599999994</v>
      </c>
      <c r="H53" s="5"/>
      <c r="I53" s="5">
        <f>'Series Detail'!U55-'Series Detail'!AE55</f>
        <v>0</v>
      </c>
      <c r="J53" s="5"/>
      <c r="K53" s="5">
        <f t="shared" si="0"/>
        <v>115590667.84999999</v>
      </c>
      <c r="L53" s="5"/>
      <c r="M53" s="5">
        <f>+K52+K53</f>
        <v>302348707.85000002</v>
      </c>
      <c r="N53" s="2"/>
      <c r="O53" s="2"/>
      <c r="P53" s="2"/>
      <c r="Q53" s="2"/>
      <c r="R53" s="2"/>
      <c r="S53" s="2"/>
      <c r="T53" s="2"/>
      <c r="U53" s="2"/>
    </row>
    <row r="54" spans="1:21" ht="13.9" x14ac:dyDescent="0.4">
      <c r="A54" s="8">
        <v>51850</v>
      </c>
      <c r="B54" s="8"/>
      <c r="C54" s="5">
        <f>'Series Detail'!R56-'Series Detail'!Y56-'Series Detail'!AA56</f>
        <v>123051135.40000001</v>
      </c>
      <c r="D54" s="5"/>
      <c r="E54" s="5">
        <f>'Series Detail'!S56-'Series Detail'!AC56</f>
        <v>18877436.25</v>
      </c>
      <c r="F54" s="5"/>
      <c r="G54" s="5">
        <f>'Series Detail'!T56-'Series Detail'!AD56</f>
        <v>34863864.600000001</v>
      </c>
      <c r="H54" s="5"/>
      <c r="I54" s="5">
        <f>'Series Detail'!U56-'Series Detail'!AE56</f>
        <v>0</v>
      </c>
      <c r="J54" s="5"/>
      <c r="K54" s="5">
        <f t="shared" si="0"/>
        <v>176792436.25</v>
      </c>
      <c r="L54" s="5"/>
      <c r="M54" s="4"/>
      <c r="N54" s="2"/>
      <c r="O54" s="2"/>
      <c r="P54" s="2"/>
      <c r="Q54" s="2"/>
      <c r="R54" s="2"/>
      <c r="S54" s="2"/>
      <c r="T54" s="2"/>
      <c r="U54" s="2"/>
    </row>
    <row r="55" spans="1:21" ht="13.9" x14ac:dyDescent="0.4">
      <c r="A55" s="8">
        <v>52032</v>
      </c>
      <c r="B55" s="8"/>
      <c r="C55" s="5">
        <f>'Series Detail'!R57-'Series Detail'!Y57-'Series Detail'!AA57</f>
        <v>109365000</v>
      </c>
      <c r="D55" s="5"/>
      <c r="E55" s="5">
        <f>'Series Detail'!S57-'Series Detail'!AC57</f>
        <v>16191837.5</v>
      </c>
      <c r="F55" s="5"/>
      <c r="G55" s="5">
        <f>'Series Detail'!T57-'Series Detail'!AD57</f>
        <v>0</v>
      </c>
      <c r="H55" s="5"/>
      <c r="I55" s="5">
        <f>'Series Detail'!U57-'Series Detail'!AE57</f>
        <v>0</v>
      </c>
      <c r="J55" s="5"/>
      <c r="K55" s="5">
        <f t="shared" si="0"/>
        <v>125556837.5</v>
      </c>
      <c r="L55" s="5"/>
      <c r="M55" s="5">
        <f>+K54+K55</f>
        <v>302349273.75</v>
      </c>
      <c r="N55" s="2"/>
      <c r="O55" s="2"/>
      <c r="P55" s="2"/>
      <c r="Q55" s="2"/>
      <c r="R55" s="2"/>
      <c r="S55" s="2"/>
      <c r="T55" s="2"/>
      <c r="U55" s="2"/>
    </row>
    <row r="56" spans="1:21" ht="13.9" x14ac:dyDescent="0.4">
      <c r="A56" s="8">
        <v>52215</v>
      </c>
      <c r="B56" s="8"/>
      <c r="C56" s="5">
        <f>'Series Detail'!R58-'Series Detail'!Y58-'Series Detail'!AA58</f>
        <v>5488967.5</v>
      </c>
      <c r="D56" s="5"/>
      <c r="E56" s="5">
        <f>'Series Detail'!S58-'Series Detail'!AC58</f>
        <v>13685806.25</v>
      </c>
      <c r="F56" s="5"/>
      <c r="G56" s="5">
        <f>'Series Detail'!T58-'Series Detail'!AD58</f>
        <v>2206032.5</v>
      </c>
      <c r="H56" s="5"/>
      <c r="I56" s="5">
        <f>'Series Detail'!U58-'Series Detail'!AE58</f>
        <v>0</v>
      </c>
      <c r="J56" s="5"/>
      <c r="K56" s="5">
        <f t="shared" si="0"/>
        <v>21380806.25</v>
      </c>
      <c r="L56" s="5"/>
      <c r="M56" s="4"/>
      <c r="N56" s="2"/>
      <c r="O56" s="2"/>
      <c r="P56" s="2"/>
      <c r="Q56" s="2"/>
      <c r="R56" s="2"/>
      <c r="S56" s="2"/>
      <c r="T56" s="2"/>
      <c r="U56" s="2"/>
    </row>
    <row r="57" spans="1:21" ht="13.9" x14ac:dyDescent="0.4">
      <c r="A57" s="8">
        <v>52397</v>
      </c>
      <c r="B57" s="8"/>
      <c r="C57" s="5">
        <f>'Series Detail'!R59-'Series Detail'!Y59-'Series Detail'!AA59</f>
        <v>36068329.5</v>
      </c>
      <c r="D57" s="5"/>
      <c r="E57" s="5">
        <f>'Series Detail'!S59-'Series Detail'!AC59</f>
        <v>13496900</v>
      </c>
      <c r="F57" s="5"/>
      <c r="G57" s="5">
        <f>'Series Detail'!T59-'Series Detail'!AD59</f>
        <v>231401670.5</v>
      </c>
      <c r="H57" s="5"/>
      <c r="I57" s="5">
        <f>'Series Detail'!U59-'Series Detail'!AE59</f>
        <v>0</v>
      </c>
      <c r="J57" s="5"/>
      <c r="K57" s="5">
        <f t="shared" si="0"/>
        <v>280966900</v>
      </c>
      <c r="L57" s="5"/>
      <c r="M57" s="5">
        <f>+K56+K57</f>
        <v>302347706.25</v>
      </c>
      <c r="N57" s="2"/>
      <c r="O57" s="2"/>
      <c r="P57" s="2"/>
      <c r="Q57" s="2"/>
      <c r="R57" s="2"/>
      <c r="S57" s="2"/>
      <c r="T57" s="2"/>
      <c r="U57" s="2"/>
    </row>
    <row r="58" spans="1:21" ht="13.9" x14ac:dyDescent="0.4">
      <c r="A58" s="8">
        <v>52580</v>
      </c>
      <c r="B58" s="8"/>
      <c r="C58" s="5">
        <f>'Series Detail'!R60-'Series Detail'!Y60-'Series Detail'!AA60</f>
        <v>5733537.5999999996</v>
      </c>
      <c r="D58" s="5"/>
      <c r="E58" s="5">
        <f>'Series Detail'!S60-'Series Detail'!AC60</f>
        <v>13496900</v>
      </c>
      <c r="F58" s="5"/>
      <c r="G58" s="5">
        <f>'Series Detail'!T60-'Series Detail'!AD60</f>
        <v>2351462.3999999999</v>
      </c>
      <c r="H58" s="5"/>
      <c r="I58" s="5">
        <f>'Series Detail'!U60-'Series Detail'!AE60</f>
        <v>0</v>
      </c>
      <c r="J58" s="5"/>
      <c r="K58" s="5">
        <f t="shared" si="0"/>
        <v>21581900</v>
      </c>
      <c r="L58" s="5"/>
      <c r="M58" s="4"/>
      <c r="N58" s="2"/>
      <c r="O58" s="2"/>
      <c r="P58" s="2"/>
      <c r="Q58" s="2"/>
      <c r="R58" s="2"/>
      <c r="S58" s="2"/>
      <c r="T58" s="2"/>
      <c r="U58" s="2"/>
    </row>
    <row r="59" spans="1:21" ht="13.9" x14ac:dyDescent="0.4">
      <c r="A59" s="8">
        <v>52763</v>
      </c>
      <c r="B59" s="8"/>
      <c r="C59" s="5">
        <f>'Series Detail'!R61-'Series Detail'!Y61-'Series Detail'!AA61</f>
        <v>33701220</v>
      </c>
      <c r="D59" s="5"/>
      <c r="E59" s="5">
        <f>'Series Detail'!S61-'Series Detail'!AC61</f>
        <v>13295990</v>
      </c>
      <c r="F59" s="5"/>
      <c r="G59" s="5">
        <f>'Series Detail'!T61-'Series Detail'!AD61</f>
        <v>233768780</v>
      </c>
      <c r="H59" s="5"/>
      <c r="I59" s="5">
        <f>'Series Detail'!U61-'Series Detail'!AE61</f>
        <v>0</v>
      </c>
      <c r="J59" s="5"/>
      <c r="K59" s="5">
        <f t="shared" si="0"/>
        <v>280765990</v>
      </c>
      <c r="L59" s="5"/>
      <c r="M59" s="5">
        <f>+K58+K59</f>
        <v>302347890</v>
      </c>
      <c r="N59" s="2"/>
      <c r="O59" s="2"/>
      <c r="P59" s="2"/>
      <c r="Q59" s="2"/>
      <c r="R59" s="2"/>
      <c r="S59" s="2"/>
      <c r="T59" s="2"/>
      <c r="U59" s="2"/>
    </row>
    <row r="60" spans="1:21" ht="13.9" x14ac:dyDescent="0.4">
      <c r="A60" s="8">
        <v>52946</v>
      </c>
      <c r="B60" s="8"/>
      <c r="C60" s="5">
        <f>'Series Detail'!R62-'Series Detail'!Y62-'Series Detail'!AA62</f>
        <v>6032577.5999999996</v>
      </c>
      <c r="D60" s="5"/>
      <c r="E60" s="5">
        <f>'Series Detail'!S62-'Series Detail'!AC62</f>
        <v>13295990</v>
      </c>
      <c r="F60" s="5"/>
      <c r="G60" s="5">
        <f>'Series Detail'!T62-'Series Detail'!AD62</f>
        <v>2472422.3999999999</v>
      </c>
      <c r="H60" s="5"/>
      <c r="I60" s="5">
        <f>'Series Detail'!U62-'Series Detail'!AE62</f>
        <v>0</v>
      </c>
      <c r="J60" s="5"/>
      <c r="K60" s="5">
        <f t="shared" si="0"/>
        <v>21800990</v>
      </c>
      <c r="L60" s="5"/>
      <c r="M60" s="4"/>
      <c r="N60" s="2"/>
      <c r="O60" s="2"/>
      <c r="P60" s="2"/>
      <c r="Q60" s="2"/>
      <c r="R60" s="2"/>
      <c r="S60" s="2"/>
      <c r="T60" s="2"/>
      <c r="U60" s="2"/>
    </row>
    <row r="61" spans="1:21" ht="13.9" x14ac:dyDescent="0.4">
      <c r="A61" s="8">
        <v>53128</v>
      </c>
      <c r="B61" s="8"/>
      <c r="C61" s="5">
        <f>'Series Detail'!R63-'Series Detail'!Y63-'Series Detail'!AA63</f>
        <v>31689253.199999999</v>
      </c>
      <c r="D61" s="5"/>
      <c r="E61" s="5">
        <f>'Series Detail'!S63-'Series Detail'!AC63</f>
        <v>13084642.5</v>
      </c>
      <c r="F61" s="5"/>
      <c r="G61" s="5">
        <f>'Series Detail'!T63-'Series Detail'!AD63</f>
        <v>235775746.80000001</v>
      </c>
      <c r="H61" s="5"/>
      <c r="I61" s="5">
        <f>'Series Detail'!U63-'Series Detail'!AE63</f>
        <v>0</v>
      </c>
      <c r="J61" s="5"/>
      <c r="K61" s="5">
        <f t="shared" si="0"/>
        <v>280549642.5</v>
      </c>
      <c r="L61" s="5"/>
      <c r="M61" s="5">
        <f>+K60+K61</f>
        <v>302350632.5</v>
      </c>
      <c r="N61" s="2"/>
      <c r="O61" s="2"/>
      <c r="P61" s="2"/>
      <c r="Q61" s="2"/>
      <c r="R61" s="2"/>
      <c r="S61" s="2"/>
      <c r="T61" s="2"/>
      <c r="U61" s="2"/>
    </row>
    <row r="62" spans="1:21" ht="13.9" x14ac:dyDescent="0.4">
      <c r="A62" s="8">
        <v>53311</v>
      </c>
      <c r="B62" s="8"/>
      <c r="C62" s="5">
        <f>'Series Detail'!R64-'Series Detail'!Y64-'Series Detail'!AA64</f>
        <v>6334198.4000000004</v>
      </c>
      <c r="D62" s="5"/>
      <c r="E62" s="5">
        <f>'Series Detail'!S64-'Series Detail'!AC64</f>
        <v>13084642.5</v>
      </c>
      <c r="F62" s="5"/>
      <c r="G62" s="5">
        <f>'Series Detail'!T64-'Series Detail'!AD64</f>
        <v>2595801.6</v>
      </c>
      <c r="H62" s="5"/>
      <c r="I62" s="5">
        <f>'Series Detail'!U64-'Series Detail'!AE64</f>
        <v>0</v>
      </c>
      <c r="J62" s="5"/>
      <c r="K62" s="5">
        <f t="shared" si="0"/>
        <v>22014642.5</v>
      </c>
      <c r="L62" s="5"/>
      <c r="M62" s="4"/>
      <c r="N62" s="2"/>
      <c r="O62" s="2"/>
      <c r="P62" s="2"/>
      <c r="Q62" s="2"/>
      <c r="R62" s="2"/>
      <c r="S62" s="2"/>
      <c r="T62" s="2"/>
      <c r="U62" s="2"/>
    </row>
    <row r="63" spans="1:21" ht="13.9" x14ac:dyDescent="0.4">
      <c r="A63" s="8">
        <v>53493</v>
      </c>
      <c r="B63" s="8"/>
      <c r="C63" s="5">
        <f>'Series Detail'!R65-'Series Detail'!Y65-'Series Detail'!AA65</f>
        <v>29798832.699999999</v>
      </c>
      <c r="D63" s="5"/>
      <c r="E63" s="5">
        <f>'Series Detail'!S65-'Series Detail'!AC65</f>
        <v>12862733.75</v>
      </c>
      <c r="F63" s="5"/>
      <c r="G63" s="5">
        <f>'Series Detail'!T65-'Series Detail'!AD65</f>
        <v>237671167.30000001</v>
      </c>
      <c r="H63" s="5"/>
      <c r="I63" s="5">
        <f>'Series Detail'!U65-'Series Detail'!AE65</f>
        <v>0</v>
      </c>
      <c r="J63" s="5"/>
      <c r="K63" s="5">
        <f t="shared" si="0"/>
        <v>280332733.75</v>
      </c>
      <c r="L63" s="5"/>
      <c r="M63" s="5">
        <f>+K62+K63</f>
        <v>302347376.25</v>
      </c>
      <c r="N63" s="2"/>
      <c r="O63" s="2"/>
      <c r="P63" s="2"/>
      <c r="Q63" s="2"/>
      <c r="R63" s="2"/>
      <c r="S63" s="2"/>
      <c r="T63" s="2"/>
      <c r="U63" s="2"/>
    </row>
    <row r="64" spans="1:21" ht="13.9" x14ac:dyDescent="0.4">
      <c r="A64" s="8">
        <v>53676</v>
      </c>
      <c r="B64" s="8"/>
      <c r="C64" s="5">
        <f>'Series Detail'!R66-'Series Detail'!Y66-'Series Detail'!AA66</f>
        <v>6661142.3999999985</v>
      </c>
      <c r="D64" s="5"/>
      <c r="E64" s="5">
        <f>'Series Detail'!S66-'Series Detail'!AC66</f>
        <v>12862733.75</v>
      </c>
      <c r="F64" s="5"/>
      <c r="G64" s="5">
        <f>'Series Detail'!T66-'Series Detail'!AD66</f>
        <v>2728857.6000000001</v>
      </c>
      <c r="H64" s="5"/>
      <c r="I64" s="5">
        <f>'Series Detail'!U66-'Series Detail'!AE66</f>
        <v>0</v>
      </c>
      <c r="J64" s="5"/>
      <c r="K64" s="5">
        <f t="shared" si="0"/>
        <v>22252733.75</v>
      </c>
      <c r="L64" s="5"/>
      <c r="M64" s="4"/>
      <c r="N64" s="2"/>
      <c r="O64" s="2"/>
      <c r="P64" s="2"/>
      <c r="Q64" s="2"/>
      <c r="R64" s="2"/>
      <c r="S64" s="2"/>
      <c r="T64" s="2"/>
      <c r="U64" s="2"/>
    </row>
    <row r="65" spans="1:21" ht="13.9" x14ac:dyDescent="0.4">
      <c r="A65" s="8">
        <v>53858</v>
      </c>
      <c r="B65" s="8"/>
      <c r="C65" s="5">
        <f>'Series Detail'!R67-'Series Detail'!Y67-'Series Detail'!AA67</f>
        <v>22376212.199999999</v>
      </c>
      <c r="D65" s="5"/>
      <c r="E65" s="5">
        <f>'Series Detail'!S67-'Series Detail'!AC67</f>
        <v>12629393.75</v>
      </c>
      <c r="F65" s="5"/>
      <c r="G65" s="5">
        <f>'Series Detail'!T67-'Series Detail'!AD67</f>
        <v>191218787.80000001</v>
      </c>
      <c r="H65" s="5"/>
      <c r="I65" s="5">
        <f>'Series Detail'!U67-'Series Detail'!AE67</f>
        <v>0</v>
      </c>
      <c r="J65" s="5"/>
      <c r="K65" s="5">
        <f t="shared" si="0"/>
        <v>226224393.75</v>
      </c>
      <c r="L65" s="5"/>
      <c r="M65" s="5">
        <f>+K64+K65</f>
        <v>248477127.5</v>
      </c>
      <c r="N65" s="2"/>
      <c r="O65" s="2"/>
      <c r="P65" s="2"/>
      <c r="Q65" s="2"/>
      <c r="R65" s="2"/>
      <c r="S65" s="2"/>
      <c r="T65" s="2"/>
      <c r="U65" s="2"/>
    </row>
    <row r="66" spans="1:21" ht="13.9" x14ac:dyDescent="0.4">
      <c r="A66" s="8">
        <v>54041</v>
      </c>
      <c r="B66" s="8"/>
      <c r="C66" s="5">
        <f>'Series Detail'!R68-'Series Detail'!Y68-'Series Detail'!AA68</f>
        <v>7003248</v>
      </c>
      <c r="D66" s="5"/>
      <c r="E66" s="5">
        <f>'Series Detail'!S68-'Series Detail'!AC68</f>
        <v>12629393.75</v>
      </c>
      <c r="F66" s="5"/>
      <c r="G66" s="5">
        <f>'Series Detail'!T68-'Series Detail'!AD68</f>
        <v>2866752</v>
      </c>
      <c r="H66" s="5"/>
      <c r="I66" s="5">
        <f>'Series Detail'!U68-'Series Detail'!AE68</f>
        <v>0</v>
      </c>
      <c r="J66" s="5"/>
      <c r="K66" s="5">
        <f t="shared" si="0"/>
        <v>22499393.75</v>
      </c>
      <c r="L66" s="5"/>
      <c r="M66" s="4"/>
      <c r="N66" s="2"/>
      <c r="O66" s="2"/>
      <c r="P66" s="2"/>
      <c r="Q66" s="2"/>
      <c r="R66" s="2"/>
      <c r="S66" s="2"/>
      <c r="T66" s="2"/>
      <c r="U66" s="2"/>
    </row>
    <row r="67" spans="1:21" ht="13.9" x14ac:dyDescent="0.4">
      <c r="A67" s="8">
        <v>54224</v>
      </c>
      <c r="B67" s="8"/>
      <c r="C67" s="5">
        <f>'Series Detail'!R69-'Series Detail'!Y69-'Series Detail'!AA69</f>
        <v>0</v>
      </c>
      <c r="D67" s="5"/>
      <c r="E67" s="5">
        <f>'Series Detail'!S69-'Series Detail'!AC69</f>
        <v>12384125</v>
      </c>
      <c r="F67" s="5"/>
      <c r="G67" s="5">
        <f>'Series Detail'!T69-'Series Detail'!AD69</f>
        <v>0</v>
      </c>
      <c r="H67" s="5"/>
      <c r="I67" s="5">
        <f>'Series Detail'!U69-'Series Detail'!AE69</f>
        <v>0</v>
      </c>
      <c r="J67" s="5"/>
      <c r="K67" s="5">
        <f t="shared" si="0"/>
        <v>12384125</v>
      </c>
      <c r="L67" s="5"/>
      <c r="M67" s="5">
        <f>+K66+K67</f>
        <v>34883518.75</v>
      </c>
      <c r="N67" s="2"/>
      <c r="O67" s="2"/>
      <c r="P67" s="2"/>
      <c r="Q67" s="2"/>
      <c r="R67" s="2"/>
      <c r="S67" s="2"/>
      <c r="T67" s="2"/>
      <c r="U67" s="2"/>
    </row>
    <row r="68" spans="1:21" ht="13.9" x14ac:dyDescent="0.4">
      <c r="A68" s="8">
        <v>54407</v>
      </c>
      <c r="B68" s="8"/>
      <c r="C68" s="5">
        <f>'Series Detail'!R70-'Series Detail'!Y70-'Series Detail'!AA70</f>
        <v>4145000</v>
      </c>
      <c r="D68" s="5"/>
      <c r="E68" s="5">
        <f>'Series Detail'!S70-'Series Detail'!AC70</f>
        <v>12384125</v>
      </c>
      <c r="F68" s="5"/>
      <c r="G68" s="5">
        <f>'Series Detail'!T70-'Series Detail'!AD70</f>
        <v>0</v>
      </c>
      <c r="H68" s="5"/>
      <c r="I68" s="5">
        <f>'Series Detail'!U70-'Series Detail'!AE70</f>
        <v>0</v>
      </c>
      <c r="J68" s="5"/>
      <c r="K68" s="5">
        <f t="shared" si="0"/>
        <v>16529125</v>
      </c>
      <c r="L68" s="5"/>
      <c r="M68" s="4"/>
      <c r="N68" s="2"/>
      <c r="O68" s="2"/>
      <c r="P68" s="2"/>
      <c r="Q68" s="2"/>
      <c r="R68" s="2"/>
      <c r="S68" s="2"/>
      <c r="T68" s="2"/>
      <c r="U68" s="2"/>
    </row>
    <row r="69" spans="1:21" ht="13.9" x14ac:dyDescent="0.4">
      <c r="A69" s="8">
        <v>54589</v>
      </c>
      <c r="B69" s="8"/>
      <c r="C69" s="5">
        <f>'Series Detail'!R71-'Series Detail'!Y71-'Series Detail'!AA71</f>
        <v>1184595.299999997</v>
      </c>
      <c r="D69" s="5"/>
      <c r="E69" s="5">
        <f>'Series Detail'!S71-'Series Detail'!AC71</f>
        <v>12280500</v>
      </c>
      <c r="F69" s="5"/>
      <c r="G69" s="5">
        <f>'Series Detail'!T71-'Series Detail'!AD71</f>
        <v>4883964</v>
      </c>
      <c r="H69" s="5"/>
      <c r="I69" s="5">
        <f>'Series Detail'!U71-'Series Detail'!AE71</f>
        <v>0</v>
      </c>
      <c r="J69" s="5"/>
      <c r="K69" s="5">
        <f t="shared" si="0"/>
        <v>18349059.299999997</v>
      </c>
      <c r="L69" s="5"/>
      <c r="M69" s="5">
        <f>+K68+K69</f>
        <v>34878184.299999997</v>
      </c>
      <c r="N69" s="2"/>
      <c r="O69" s="2"/>
      <c r="P69" s="2"/>
      <c r="Q69" s="2"/>
      <c r="R69" s="2"/>
      <c r="S69" s="2"/>
      <c r="T69" s="2"/>
      <c r="U69" s="2"/>
    </row>
    <row r="70" spans="1:21" ht="13.9" x14ac:dyDescent="0.4">
      <c r="A70" s="8">
        <v>54772</v>
      </c>
      <c r="B70" s="8"/>
      <c r="C70" s="5">
        <f>'Series Detail'!R72-'Series Detail'!Y72-'Series Detail'!AA72</f>
        <v>14781263.550000012</v>
      </c>
      <c r="D70" s="5"/>
      <c r="E70" s="5">
        <f>'Series Detail'!S72-'Series Detail'!AC72</f>
        <v>12280500</v>
      </c>
      <c r="F70" s="5"/>
      <c r="G70" s="5">
        <f>'Series Detail'!T72-'Series Detail'!AD72</f>
        <v>43898910.299999997</v>
      </c>
      <c r="H70" s="5"/>
      <c r="I70" s="5">
        <f>'Series Detail'!U72-'Series Detail'!AE72</f>
        <v>0</v>
      </c>
      <c r="J70" s="5"/>
      <c r="K70" s="5">
        <f t="shared" si="0"/>
        <v>70960673.850000009</v>
      </c>
      <c r="L70" s="5"/>
      <c r="M70" s="4"/>
      <c r="N70" s="2"/>
      <c r="O70" s="2"/>
      <c r="P70" s="2"/>
      <c r="Q70" s="2"/>
      <c r="R70" s="2"/>
      <c r="S70" s="2"/>
      <c r="T70" s="2"/>
      <c r="U70" s="2"/>
    </row>
    <row r="71" spans="1:21" ht="13.9" x14ac:dyDescent="0.4">
      <c r="A71" s="8">
        <v>54954</v>
      </c>
      <c r="B71" s="8"/>
      <c r="C71" s="5">
        <f>'Series Detail'!R73-'Series Detail'!Y73-'Series Detail'!AA73</f>
        <v>0</v>
      </c>
      <c r="D71" s="5"/>
      <c r="E71" s="5">
        <f>'Series Detail'!S73-'Series Detail'!AC73</f>
        <v>12168750</v>
      </c>
      <c r="F71" s="5"/>
      <c r="G71" s="5">
        <f>'Series Detail'!T73-'Series Detail'!AD73</f>
        <v>0</v>
      </c>
      <c r="H71" s="5"/>
      <c r="I71" s="5">
        <f>'Series Detail'!U73-'Series Detail'!AE73</f>
        <v>0</v>
      </c>
      <c r="J71" s="5"/>
      <c r="K71" s="5">
        <f t="shared" si="0"/>
        <v>12168750</v>
      </c>
      <c r="L71" s="5"/>
      <c r="M71" s="5">
        <f>+K70+K71</f>
        <v>83129423.850000009</v>
      </c>
      <c r="N71" s="2"/>
      <c r="O71" s="2"/>
      <c r="P71" s="2"/>
      <c r="Q71" s="2"/>
      <c r="R71" s="2"/>
      <c r="S71" s="2"/>
      <c r="T71" s="2"/>
      <c r="U71" s="2"/>
    </row>
    <row r="72" spans="1:21" ht="13.9" x14ac:dyDescent="0.4">
      <c r="A72" s="8">
        <v>55137</v>
      </c>
      <c r="B72" s="8"/>
      <c r="C72" s="5">
        <f>'Series Detail'!R74-'Series Detail'!Y74-'Series Detail'!AA74</f>
        <v>25645714.300000001</v>
      </c>
      <c r="D72" s="5"/>
      <c r="E72" s="5">
        <f>'Series Detail'!S74-'Series Detail'!AC74</f>
        <v>12168750</v>
      </c>
      <c r="F72" s="5"/>
      <c r="G72" s="5">
        <f>'Series Detail'!T74-'Series Detail'!AD74</f>
        <v>170938578.30000001</v>
      </c>
      <c r="H72" s="5"/>
      <c r="I72" s="5">
        <f>'Series Detail'!U74-'Series Detail'!AE74</f>
        <v>0</v>
      </c>
      <c r="J72" s="5"/>
      <c r="K72" s="5">
        <f t="shared" si="0"/>
        <v>208753042.60000002</v>
      </c>
      <c r="L72" s="5"/>
      <c r="M72" s="4"/>
      <c r="N72" s="2"/>
      <c r="O72" s="2"/>
      <c r="P72" s="2"/>
      <c r="Q72" s="2"/>
      <c r="R72" s="2"/>
      <c r="S72" s="2"/>
      <c r="T72" s="2"/>
      <c r="U72" s="2"/>
    </row>
    <row r="73" spans="1:21" ht="13.9" x14ac:dyDescent="0.4">
      <c r="A73" s="8">
        <v>55319</v>
      </c>
      <c r="B73" s="8"/>
      <c r="C73" s="5">
        <f>'Series Detail'!R75-'Series Detail'!Y75-'Series Detail'!AA75</f>
        <v>15218139.35</v>
      </c>
      <c r="D73" s="5"/>
      <c r="E73" s="5">
        <f>'Series Detail'!S75-'Series Detail'!AC75</f>
        <v>12088875</v>
      </c>
      <c r="F73" s="5"/>
      <c r="G73" s="5">
        <f>'Series Detail'!T75-'Series Detail'!AD75</f>
        <v>111183089.55</v>
      </c>
      <c r="H73" s="5"/>
      <c r="I73" s="5">
        <f>'Series Detail'!U75-'Series Detail'!AE75</f>
        <v>0</v>
      </c>
      <c r="J73" s="5"/>
      <c r="K73" s="5">
        <f t="shared" si="0"/>
        <v>138490103.90000001</v>
      </c>
      <c r="L73" s="5"/>
      <c r="M73" s="5">
        <f>+K72+K73</f>
        <v>347243146.5</v>
      </c>
      <c r="N73" s="2"/>
      <c r="O73" s="2"/>
      <c r="P73" s="2"/>
      <c r="Q73" s="2"/>
      <c r="R73" s="2"/>
      <c r="S73" s="2"/>
      <c r="T73" s="2"/>
      <c r="U73" s="2"/>
    </row>
    <row r="74" spans="1:21" ht="13.9" x14ac:dyDescent="0.4">
      <c r="A74" s="8">
        <v>55502</v>
      </c>
      <c r="B74" s="8"/>
      <c r="C74" s="5">
        <f>'Series Detail'!R76-'Series Detail'!Y76-'Series Detail'!AA76</f>
        <v>46433118.25</v>
      </c>
      <c r="D74" s="5"/>
      <c r="E74" s="5">
        <f>'Series Detail'!S76-'Series Detail'!AC76</f>
        <v>12055125</v>
      </c>
      <c r="F74" s="5"/>
      <c r="G74" s="5">
        <f>'Series Detail'!T76-'Series Detail'!AD76</f>
        <v>150258121.25</v>
      </c>
      <c r="H74" s="5"/>
      <c r="I74" s="5">
        <f>'Series Detail'!U76-'Series Detail'!AE76</f>
        <v>0</v>
      </c>
      <c r="J74" s="5"/>
      <c r="K74" s="5">
        <f t="shared" si="0"/>
        <v>208746364.5</v>
      </c>
      <c r="L74" s="5"/>
      <c r="M74" s="4"/>
      <c r="N74" s="2"/>
      <c r="O74" s="2"/>
      <c r="P74" s="2"/>
      <c r="Q74" s="2"/>
      <c r="R74" s="2"/>
      <c r="S74" s="2"/>
      <c r="T74" s="2"/>
      <c r="U74" s="2"/>
    </row>
    <row r="75" spans="1:21" ht="13.9" x14ac:dyDescent="0.4">
      <c r="A75" s="8">
        <v>55685</v>
      </c>
      <c r="B75" s="8"/>
      <c r="C75" s="5">
        <f>'Series Detail'!R77-'Series Detail'!Y77-'Series Detail'!AA77</f>
        <v>127140000</v>
      </c>
      <c r="D75" s="5"/>
      <c r="E75" s="5">
        <f>'Series Detail'!S77-'Series Detail'!AC77</f>
        <v>11354250</v>
      </c>
      <c r="F75" s="5"/>
      <c r="G75" s="5">
        <f>'Series Detail'!T77-'Series Detail'!AD77</f>
        <v>0</v>
      </c>
      <c r="H75" s="5"/>
      <c r="I75" s="5">
        <f>'Series Detail'!U77-'Series Detail'!AE77</f>
        <v>0</v>
      </c>
      <c r="J75" s="5"/>
      <c r="K75" s="5">
        <f t="shared" ref="K75:K91" si="1">SUM(C75:J75)</f>
        <v>138494250</v>
      </c>
      <c r="L75" s="5"/>
      <c r="M75" s="5">
        <f>+K74+K75</f>
        <v>347240614.5</v>
      </c>
      <c r="N75" s="2"/>
      <c r="O75" s="2"/>
      <c r="P75" s="2"/>
      <c r="Q75" s="2"/>
      <c r="R75" s="2"/>
      <c r="S75" s="2"/>
      <c r="T75" s="2"/>
      <c r="U75" s="2"/>
    </row>
    <row r="76" spans="1:21" ht="13.9" x14ac:dyDescent="0.4">
      <c r="A76" s="8">
        <v>55868</v>
      </c>
      <c r="B76" s="8"/>
      <c r="C76" s="5">
        <f>'Series Detail'!R78-'Series Detail'!Y78-'Series Detail'!AA78</f>
        <v>24777137.699999999</v>
      </c>
      <c r="D76" s="5"/>
      <c r="E76" s="5">
        <f>'Series Detail'!S78-'Series Detail'!AC78</f>
        <v>8175750</v>
      </c>
      <c r="F76" s="5"/>
      <c r="G76" s="5">
        <f>'Series Detail'!T78-'Series Detail'!AD78</f>
        <v>176794160.5</v>
      </c>
      <c r="H76" s="5"/>
      <c r="I76" s="5">
        <f>'Series Detail'!U78-'Series Detail'!AE78</f>
        <v>0</v>
      </c>
      <c r="J76" s="5"/>
      <c r="K76" s="5">
        <f t="shared" si="1"/>
        <v>209747048.19999999</v>
      </c>
      <c r="L76" s="5"/>
      <c r="M76" s="4"/>
      <c r="N76" s="2"/>
      <c r="O76" s="2"/>
      <c r="P76" s="2"/>
      <c r="Q76" s="2"/>
      <c r="R76" s="2"/>
      <c r="S76" s="2"/>
      <c r="T76" s="2"/>
      <c r="U76" s="2"/>
    </row>
    <row r="77" spans="1:21" ht="13.9" x14ac:dyDescent="0.4">
      <c r="A77" s="8">
        <v>56050</v>
      </c>
      <c r="B77" s="8"/>
      <c r="C77" s="5">
        <f>'Series Detail'!R79-'Series Detail'!Y79-'Series Detail'!AA79</f>
        <v>129335000</v>
      </c>
      <c r="D77" s="5"/>
      <c r="E77" s="5">
        <f>'Series Detail'!S79-'Series Detail'!AC79</f>
        <v>8158500</v>
      </c>
      <c r="F77" s="5"/>
      <c r="G77" s="5">
        <f>'Series Detail'!T79-'Series Detail'!AD79</f>
        <v>0</v>
      </c>
      <c r="H77" s="5"/>
      <c r="I77" s="5">
        <f>'Series Detail'!U79-'Series Detail'!AE79</f>
        <v>0</v>
      </c>
      <c r="J77" s="5"/>
      <c r="K77" s="5">
        <f t="shared" si="1"/>
        <v>137493500</v>
      </c>
      <c r="L77" s="5"/>
      <c r="M77" s="5">
        <f>+K76+K77</f>
        <v>347240548.19999999</v>
      </c>
      <c r="N77" s="2"/>
      <c r="O77" s="2"/>
      <c r="P77" s="2"/>
      <c r="Q77" s="2"/>
      <c r="R77" s="2"/>
      <c r="S77" s="2"/>
      <c r="T77" s="2"/>
      <c r="U77" s="2"/>
    </row>
    <row r="78" spans="1:21" ht="13.9" x14ac:dyDescent="0.4">
      <c r="A78" s="8">
        <v>56233</v>
      </c>
      <c r="B78" s="8"/>
      <c r="C78" s="5">
        <f>'Series Detail'!R80-'Series Detail'!Y80-'Series Detail'!AA80</f>
        <v>32548480.649999999</v>
      </c>
      <c r="D78" s="5"/>
      <c r="E78" s="5">
        <f>'Series Detail'!S80-'Series Detail'!AC80</f>
        <v>4750125</v>
      </c>
      <c r="F78" s="5"/>
      <c r="G78" s="5">
        <f>'Series Detail'!T80-'Series Detail'!AD80</f>
        <v>177986684.5</v>
      </c>
      <c r="H78" s="5"/>
      <c r="I78" s="5">
        <f>'Series Detail'!U80-'Series Detail'!AE80</f>
        <v>0</v>
      </c>
      <c r="J78" s="5"/>
      <c r="K78" s="5">
        <f t="shared" si="1"/>
        <v>215285290.15000001</v>
      </c>
      <c r="L78" s="5"/>
      <c r="M78" s="4"/>
      <c r="N78" s="2"/>
      <c r="O78" s="2"/>
      <c r="P78" s="2"/>
      <c r="Q78" s="2"/>
      <c r="R78" s="2"/>
      <c r="S78" s="2"/>
      <c r="T78" s="2"/>
      <c r="U78" s="2"/>
    </row>
    <row r="79" spans="1:21" ht="13.9" x14ac:dyDescent="0.4">
      <c r="A79" s="8">
        <v>56415</v>
      </c>
      <c r="B79" s="8"/>
      <c r="C79" s="5">
        <f>'Series Detail'!R81-'Series Detail'!Y81-'Series Detail'!AA81</f>
        <v>36149432</v>
      </c>
      <c r="D79" s="5"/>
      <c r="E79" s="5">
        <f>'Series Detail'!S81-'Series Detail'!AC81</f>
        <v>4750125</v>
      </c>
      <c r="F79" s="5"/>
      <c r="G79" s="5">
        <f>'Series Detail'!T81-'Series Detail'!AD81</f>
        <v>91058660</v>
      </c>
      <c r="H79" s="5"/>
      <c r="I79" s="5">
        <f>'Series Detail'!U81-'Series Detail'!AE81</f>
        <v>0</v>
      </c>
      <c r="J79" s="5"/>
      <c r="K79" s="5">
        <f t="shared" si="1"/>
        <v>131958217</v>
      </c>
      <c r="L79" s="5"/>
      <c r="M79" s="5">
        <f>+K78+K79</f>
        <v>347243507.14999998</v>
      </c>
      <c r="N79" s="2"/>
      <c r="O79" s="2"/>
      <c r="P79" s="2"/>
      <c r="Q79" s="2"/>
      <c r="R79" s="2"/>
      <c r="S79" s="2"/>
      <c r="T79" s="2"/>
      <c r="U79" s="2"/>
    </row>
    <row r="80" spans="1:21" ht="13.9" x14ac:dyDescent="0.4">
      <c r="A80" s="8">
        <v>56598</v>
      </c>
      <c r="B80" s="8"/>
      <c r="C80" s="5">
        <f>'Series Detail'!R82-'Series Detail'!Y82-'Series Detail'!AA82</f>
        <v>30978571.5</v>
      </c>
      <c r="D80" s="5"/>
      <c r="E80" s="5">
        <f>'Series Detail'!S82-'Series Detail'!AC82</f>
        <v>4250125</v>
      </c>
      <c r="F80" s="5"/>
      <c r="G80" s="5">
        <f>'Series Detail'!T82-'Series Detail'!AD82</f>
        <v>180062062</v>
      </c>
      <c r="H80" s="5"/>
      <c r="I80" s="5">
        <f>'Series Detail'!U82-'Series Detail'!AE82</f>
        <v>0</v>
      </c>
      <c r="J80" s="5"/>
      <c r="K80" s="5">
        <f t="shared" si="1"/>
        <v>215290758.5</v>
      </c>
      <c r="L80" s="5"/>
      <c r="M80" s="4"/>
      <c r="N80" s="2"/>
      <c r="O80" s="2"/>
      <c r="P80" s="2"/>
      <c r="Q80" s="2"/>
      <c r="R80" s="2"/>
      <c r="S80" s="2"/>
      <c r="T80" s="2"/>
      <c r="U80" s="2"/>
    </row>
    <row r="81" spans="1:21" ht="13.9" x14ac:dyDescent="0.4">
      <c r="A81" s="8">
        <v>56780</v>
      </c>
      <c r="B81" s="8"/>
      <c r="C81" s="5">
        <f>'Series Detail'!R83-'Series Detail'!Y83-'Series Detail'!AA83</f>
        <v>35404535.299999997</v>
      </c>
      <c r="D81" s="5"/>
      <c r="E81" s="5">
        <f>'Series Detail'!S83-'Series Detail'!AC83</f>
        <v>4250125</v>
      </c>
      <c r="F81" s="5"/>
      <c r="G81" s="5">
        <f>'Series Detail'!T83-'Series Detail'!AD83</f>
        <v>92299160.799999997</v>
      </c>
      <c r="H81" s="5"/>
      <c r="I81" s="5">
        <f>'Series Detail'!U83-'Series Detail'!AE83</f>
        <v>0</v>
      </c>
      <c r="J81" s="5"/>
      <c r="K81" s="5">
        <f t="shared" si="1"/>
        <v>131953821.09999999</v>
      </c>
      <c r="L81" s="5"/>
      <c r="M81" s="5">
        <f>+K80+K81</f>
        <v>347244579.60000002</v>
      </c>
      <c r="N81" s="2"/>
      <c r="O81" s="2"/>
      <c r="P81" s="2"/>
      <c r="Q81" s="2"/>
      <c r="R81" s="2"/>
      <c r="S81" s="2"/>
      <c r="T81" s="2"/>
      <c r="U81" s="2"/>
    </row>
    <row r="82" spans="1:21" ht="13.9" x14ac:dyDescent="0.4">
      <c r="A82" s="8">
        <v>56963</v>
      </c>
      <c r="B82" s="8"/>
      <c r="C82" s="5">
        <f>'Series Detail'!R84-'Series Detail'!Y84-'Series Detail'!AA84</f>
        <v>42944037.049999997</v>
      </c>
      <c r="D82" s="5"/>
      <c r="E82" s="5">
        <f>'Series Detail'!S84-'Series Detail'!AC84</f>
        <v>3750125</v>
      </c>
      <c r="F82" s="5"/>
      <c r="G82" s="5">
        <f>'Series Detail'!T84-'Series Detail'!AD84</f>
        <v>141683286.59999999</v>
      </c>
      <c r="H82" s="5"/>
      <c r="I82" s="5">
        <f>'Series Detail'!U84-'Series Detail'!AE84</f>
        <v>0</v>
      </c>
      <c r="J82" s="5"/>
      <c r="K82" s="5">
        <f t="shared" si="1"/>
        <v>188377448.64999998</v>
      </c>
      <c r="L82" s="5"/>
      <c r="M82" s="4"/>
      <c r="N82" s="2"/>
      <c r="O82" s="2"/>
      <c r="P82" s="2"/>
      <c r="Q82" s="2"/>
      <c r="R82" s="2"/>
      <c r="S82" s="2"/>
      <c r="T82" s="2"/>
      <c r="U82" s="2"/>
    </row>
    <row r="83" spans="1:21" ht="13.9" x14ac:dyDescent="0.4">
      <c r="A83" s="8">
        <v>57146</v>
      </c>
      <c r="B83" s="8"/>
      <c r="C83" s="5">
        <f>'Series Detail'!R85-'Series Detail'!Y85-'Series Detail'!AA85</f>
        <v>26618429.75</v>
      </c>
      <c r="D83" s="5"/>
      <c r="E83" s="5">
        <f>'Series Detail'!S85-'Series Detail'!AC85</f>
        <v>3250125</v>
      </c>
      <c r="F83" s="5"/>
      <c r="G83" s="5">
        <f>'Series Detail'!T85-'Series Detail'!AD85</f>
        <v>128994700</v>
      </c>
      <c r="H83" s="5"/>
      <c r="I83" s="5">
        <f>'Series Detail'!U85-'Series Detail'!AE85</f>
        <v>0</v>
      </c>
      <c r="J83" s="5"/>
      <c r="K83" s="5">
        <f t="shared" si="1"/>
        <v>158863254.75</v>
      </c>
      <c r="L83" s="5"/>
      <c r="M83" s="5">
        <f>+K82+K83</f>
        <v>347240703.39999998</v>
      </c>
      <c r="N83" s="2"/>
      <c r="O83" s="2"/>
      <c r="P83" s="2"/>
      <c r="Q83" s="2"/>
      <c r="R83" s="2"/>
      <c r="S83" s="2"/>
      <c r="T83" s="2"/>
      <c r="U83" s="2"/>
    </row>
    <row r="84" spans="1:21" ht="13.9" x14ac:dyDescent="0.4">
      <c r="A84" s="8">
        <v>57329</v>
      </c>
      <c r="B84" s="8"/>
      <c r="C84" s="5">
        <f>'Series Detail'!R86-'Series Detail'!Y86-'Series Detail'!AA86</f>
        <v>36621670.25</v>
      </c>
      <c r="D84" s="5"/>
      <c r="E84" s="5">
        <f>'Series Detail'!S86-'Series Detail'!AC86</f>
        <v>3250125</v>
      </c>
      <c r="F84" s="5"/>
      <c r="G84" s="5">
        <f>'Series Detail'!T86-'Series Detail'!AD86</f>
        <v>175418329.75</v>
      </c>
      <c r="H84" s="5"/>
      <c r="I84" s="5">
        <f>'Series Detail'!U86-'Series Detail'!AE86</f>
        <v>0</v>
      </c>
      <c r="J84" s="5"/>
      <c r="K84" s="5">
        <f t="shared" si="1"/>
        <v>215290125</v>
      </c>
      <c r="L84" s="5"/>
      <c r="M84" s="4"/>
      <c r="N84" s="2"/>
      <c r="O84" s="2"/>
      <c r="P84" s="2"/>
      <c r="Q84" s="2"/>
      <c r="R84" s="2"/>
      <c r="S84" s="2"/>
      <c r="T84" s="2"/>
      <c r="U84" s="2"/>
    </row>
    <row r="85" spans="1:21" ht="13.9" x14ac:dyDescent="0.4">
      <c r="A85" s="8">
        <v>57511</v>
      </c>
      <c r="B85" s="8"/>
      <c r="C85" s="5">
        <f>'Series Detail'!R87-'Series Detail'!Y87-'Series Detail'!AA87</f>
        <v>128740000</v>
      </c>
      <c r="D85" s="5"/>
      <c r="E85" s="5">
        <f>'Series Detail'!S87-'Series Detail'!AC87</f>
        <v>3218500</v>
      </c>
      <c r="F85" s="5"/>
      <c r="G85" s="5">
        <f>'Series Detail'!T87-'Series Detail'!AD87</f>
        <v>0</v>
      </c>
      <c r="H85" s="5"/>
      <c r="I85" s="5">
        <f>'Series Detail'!U87-'Series Detail'!AE87</f>
        <v>0</v>
      </c>
      <c r="J85" s="5"/>
      <c r="K85" s="5">
        <f t="shared" si="1"/>
        <v>131958500</v>
      </c>
      <c r="L85" s="5"/>
      <c r="M85" s="5">
        <f>+K84+K85</f>
        <v>347248625</v>
      </c>
      <c r="N85" s="2"/>
      <c r="O85" s="2"/>
      <c r="P85" s="2"/>
      <c r="Q85" s="2"/>
      <c r="R85" s="2"/>
      <c r="S85" s="2"/>
      <c r="T85" s="2"/>
      <c r="U85" s="2"/>
    </row>
    <row r="86" spans="1:21" ht="13.9" x14ac:dyDescent="0.4">
      <c r="A86" s="8">
        <v>57694</v>
      </c>
      <c r="B86" s="8"/>
      <c r="C86" s="5">
        <f>'Series Detail'!R88-'Series Detail'!Y88-'Series Detail'!AA88</f>
        <v>0</v>
      </c>
      <c r="D86" s="5"/>
      <c r="E86" s="5">
        <f>'Series Detail'!S88-'Series Detail'!AC88</f>
        <v>0</v>
      </c>
      <c r="F86" s="5"/>
      <c r="G86" s="5">
        <f>'Series Detail'!T88-'Series Detail'!AD88</f>
        <v>0</v>
      </c>
      <c r="H86" s="5"/>
      <c r="I86" s="5">
        <f>'Series Detail'!U88-'Series Detail'!AE88</f>
        <v>0</v>
      </c>
      <c r="J86" s="5"/>
      <c r="K86" s="5">
        <f t="shared" si="1"/>
        <v>0</v>
      </c>
      <c r="L86" s="5"/>
      <c r="M86" s="4"/>
      <c r="N86" s="2"/>
      <c r="O86" s="2"/>
      <c r="P86" s="2"/>
      <c r="Q86" s="2"/>
      <c r="R86" s="2"/>
      <c r="S86" s="2"/>
      <c r="T86" s="2"/>
      <c r="U86" s="2"/>
    </row>
    <row r="87" spans="1:21" ht="13.9" x14ac:dyDescent="0.4">
      <c r="A87" s="8">
        <v>57876</v>
      </c>
      <c r="B87" s="8"/>
      <c r="C87" s="5">
        <f>'Series Detail'!R89-'Series Detail'!Y89-'Series Detail'!AA89</f>
        <v>0</v>
      </c>
      <c r="D87" s="5"/>
      <c r="E87" s="5">
        <f>'Series Detail'!S89-'Series Detail'!AC89</f>
        <v>0</v>
      </c>
      <c r="F87" s="5"/>
      <c r="G87" s="5">
        <f>'Series Detail'!T89-'Series Detail'!AD89</f>
        <v>0</v>
      </c>
      <c r="H87" s="5"/>
      <c r="I87" s="5">
        <f>'Series Detail'!U89-'Series Detail'!AE89</f>
        <v>0</v>
      </c>
      <c r="J87" s="5"/>
      <c r="K87" s="5">
        <f t="shared" si="1"/>
        <v>0</v>
      </c>
      <c r="L87" s="5"/>
      <c r="M87" s="5">
        <f>+K86+K87</f>
        <v>0</v>
      </c>
      <c r="N87" s="2"/>
      <c r="O87" s="2"/>
      <c r="P87" s="2"/>
      <c r="Q87" s="2"/>
      <c r="R87" s="2"/>
      <c r="S87" s="2"/>
      <c r="T87" s="2"/>
      <c r="U87" s="2"/>
    </row>
    <row r="88" spans="1:21" ht="13.9" x14ac:dyDescent="0.4">
      <c r="A88" s="8">
        <v>58059</v>
      </c>
      <c r="B88" s="8"/>
      <c r="C88" s="5">
        <f>'Series Detail'!R90-'Series Detail'!Y90-'Series Detail'!AA90</f>
        <v>0</v>
      </c>
      <c r="D88" s="5"/>
      <c r="E88" s="5">
        <f>'Series Detail'!S90-'Series Detail'!AC90</f>
        <v>0</v>
      </c>
      <c r="F88" s="5"/>
      <c r="G88" s="5">
        <f>'Series Detail'!T90-'Series Detail'!AD90</f>
        <v>0</v>
      </c>
      <c r="H88" s="5"/>
      <c r="I88" s="5">
        <f>'Series Detail'!U90-'Series Detail'!AE90</f>
        <v>0</v>
      </c>
      <c r="J88" s="5"/>
      <c r="K88" s="5">
        <f t="shared" si="1"/>
        <v>0</v>
      </c>
      <c r="L88" s="5"/>
      <c r="M88" s="4"/>
      <c r="N88" s="2"/>
      <c r="O88" s="2"/>
      <c r="P88" s="2"/>
      <c r="Q88" s="2"/>
      <c r="R88" s="2"/>
      <c r="S88" s="2"/>
      <c r="T88" s="2"/>
      <c r="U88" s="2"/>
    </row>
    <row r="89" spans="1:21" ht="13.9" x14ac:dyDescent="0.4">
      <c r="A89" s="8">
        <v>58241</v>
      </c>
      <c r="B89" s="8"/>
      <c r="C89" s="5">
        <f>'Series Detail'!R91-'Series Detail'!Y91-'Series Detail'!AA91</f>
        <v>0</v>
      </c>
      <c r="D89" s="5"/>
      <c r="E89" s="5">
        <f>'Series Detail'!S91-'Series Detail'!AC91</f>
        <v>0</v>
      </c>
      <c r="F89" s="5"/>
      <c r="G89" s="5">
        <f>'Series Detail'!T91-'Series Detail'!AD91</f>
        <v>0</v>
      </c>
      <c r="H89" s="5"/>
      <c r="I89" s="5">
        <f>'Series Detail'!U91-'Series Detail'!AE91</f>
        <v>0</v>
      </c>
      <c r="J89" s="5"/>
      <c r="K89" s="5">
        <f t="shared" si="1"/>
        <v>0</v>
      </c>
      <c r="L89" s="5"/>
      <c r="M89" s="5">
        <f>+K88+K89</f>
        <v>0</v>
      </c>
      <c r="N89" s="2"/>
      <c r="O89" s="2"/>
      <c r="P89" s="2"/>
      <c r="Q89" s="2"/>
      <c r="R89" s="2"/>
      <c r="S89" s="2"/>
      <c r="T89" s="2"/>
      <c r="U89" s="2"/>
    </row>
    <row r="90" spans="1:21" ht="13.9" x14ac:dyDescent="0.4">
      <c r="A90" s="8">
        <v>58424</v>
      </c>
      <c r="B90" s="8"/>
      <c r="C90" s="5">
        <f>'Series Detail'!R92-'Series Detail'!Y92-'Series Detail'!AA92</f>
        <v>0</v>
      </c>
      <c r="D90" s="5"/>
      <c r="E90" s="5">
        <f>'Series Detail'!S92-'Series Detail'!AC92</f>
        <v>0</v>
      </c>
      <c r="F90" s="5"/>
      <c r="G90" s="5">
        <f>'Series Detail'!T92-'Series Detail'!AD92</f>
        <v>0</v>
      </c>
      <c r="H90" s="5"/>
      <c r="I90" s="5">
        <f>'Series Detail'!U92-'Series Detail'!AE92</f>
        <v>0</v>
      </c>
      <c r="J90" s="5"/>
      <c r="K90" s="5">
        <f t="shared" si="1"/>
        <v>0</v>
      </c>
      <c r="L90" s="5"/>
      <c r="M90" s="4"/>
      <c r="N90" s="2"/>
      <c r="O90" s="2"/>
      <c r="P90" s="2"/>
      <c r="Q90" s="2"/>
      <c r="R90" s="2"/>
      <c r="S90" s="2"/>
      <c r="T90" s="2"/>
      <c r="U90" s="2"/>
    </row>
    <row r="91" spans="1:21" ht="13.9" x14ac:dyDescent="0.4">
      <c r="A91" s="8">
        <v>58607</v>
      </c>
      <c r="B91" s="8"/>
      <c r="C91" s="5">
        <f>'Series Detail'!R93-'Series Detail'!Y93-'Series Detail'!AA93</f>
        <v>0</v>
      </c>
      <c r="D91" s="5"/>
      <c r="E91" s="5">
        <f>'Series Detail'!S93-'Series Detail'!AC93</f>
        <v>0</v>
      </c>
      <c r="F91" s="5"/>
      <c r="G91" s="5">
        <f>'Series Detail'!T93-'Series Detail'!AD93</f>
        <v>0</v>
      </c>
      <c r="H91" s="5"/>
      <c r="I91" s="5">
        <f>'Series Detail'!U93-'Series Detail'!AE93</f>
        <v>0</v>
      </c>
      <c r="J91" s="5"/>
      <c r="K91" s="5">
        <f t="shared" si="1"/>
        <v>0</v>
      </c>
      <c r="L91" s="5"/>
      <c r="M91" s="5">
        <f>+K90+K91</f>
        <v>0</v>
      </c>
      <c r="N91" s="2"/>
      <c r="O91" s="2"/>
      <c r="P91" s="2"/>
      <c r="Q91" s="2"/>
      <c r="R91" s="2"/>
      <c r="S91" s="2"/>
      <c r="T91" s="2"/>
      <c r="U91" s="2"/>
    </row>
    <row r="92" spans="1:21" ht="13.9" x14ac:dyDescent="0.4">
      <c r="A92" s="8"/>
      <c r="B92" s="8"/>
      <c r="C92" s="13"/>
      <c r="D92" s="4"/>
      <c r="E92" s="13"/>
      <c r="F92" s="4"/>
      <c r="G92" s="13"/>
      <c r="H92" s="4"/>
      <c r="I92" s="13"/>
      <c r="J92" s="4"/>
      <c r="K92" s="13"/>
      <c r="L92" s="4"/>
      <c r="M92" s="13"/>
    </row>
    <row r="93" spans="1:21" ht="14.25" thickBot="1" x14ac:dyDescent="0.45">
      <c r="A93" s="8" t="s">
        <v>40</v>
      </c>
      <c r="B93" s="8"/>
      <c r="C93" s="49">
        <f>SUM(C10:C92)</f>
        <v>2053124555.0999999</v>
      </c>
      <c r="D93" s="5"/>
      <c r="E93" s="49">
        <f>SUM(E10:E92)</f>
        <v>1454677711.77</v>
      </c>
      <c r="F93" s="5"/>
      <c r="G93" s="49">
        <f>SUM(G10:G92)</f>
        <v>6718410134.0000029</v>
      </c>
      <c r="H93" s="5"/>
      <c r="I93" s="49">
        <f>SUM(I10:I92)</f>
        <v>0</v>
      </c>
      <c r="J93" s="5"/>
      <c r="K93" s="49">
        <f>SUM(K10:K92)</f>
        <v>10226212400.870001</v>
      </c>
      <c r="L93" s="5"/>
      <c r="M93" s="49">
        <f>SUM(M10:M92)</f>
        <v>10226212400.870001</v>
      </c>
    </row>
    <row r="94" spans="1:21" ht="14.25" thickTop="1" x14ac:dyDescent="0.4">
      <c r="A94" s="8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21" ht="13.9" x14ac:dyDescent="0.4">
      <c r="A95" s="8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21" ht="13.9" x14ac:dyDescent="0.4">
      <c r="A96" s="173">
        <f ca="1">'2020A'!A76</f>
        <v>43964.71279351852</v>
      </c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13.9" x14ac:dyDescent="0.4">
      <c r="A97" s="8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9" spans="1:13" x14ac:dyDescent="0.35">
      <c r="A99" s="3" t="s">
        <v>45</v>
      </c>
    </row>
    <row r="100" spans="1:13" x14ac:dyDescent="0.35">
      <c r="A100" s="3" t="s">
        <v>108</v>
      </c>
      <c r="C100" s="2">
        <f>'Series Detail'!Y95+'Series Detail'!AA95</f>
        <v>881905000</v>
      </c>
      <c r="E100" s="2">
        <f>'Series Detail'!AC95</f>
        <v>1140006116.6700001</v>
      </c>
      <c r="G100" s="2">
        <f>'Series Detail'!AD95</f>
        <v>0</v>
      </c>
      <c r="I100" s="2">
        <f>'Series Detail'!AE95</f>
        <v>-23961878.119999997</v>
      </c>
      <c r="K100" s="2">
        <f>'Series Detail'!AF95</f>
        <v>1997949238.55</v>
      </c>
    </row>
    <row r="101" spans="1:13" x14ac:dyDescent="0.35">
      <c r="A101" s="3" t="s">
        <v>46</v>
      </c>
      <c r="C101" s="119">
        <f>'Total Debt'!C93</f>
        <v>2935029555.1000004</v>
      </c>
      <c r="E101" s="119">
        <f>'Total Debt'!E93</f>
        <v>2594683828.4400001</v>
      </c>
      <c r="G101" s="119">
        <f>'Total Debt'!G93</f>
        <v>6718410134.0000029</v>
      </c>
      <c r="I101" s="119">
        <f>'Total Debt'!I93</f>
        <v>-23961878.119999997</v>
      </c>
      <c r="K101" s="119">
        <f>'Total Debt'!K93</f>
        <v>12224161639.42</v>
      </c>
      <c r="M101" s="2">
        <f>'Total Debt'!M93</f>
        <v>12224161639.42</v>
      </c>
    </row>
    <row r="102" spans="1:13" x14ac:dyDescent="0.35">
      <c r="A102" s="3" t="s">
        <v>47</v>
      </c>
      <c r="C102" s="2">
        <f>C93+C100-C101</f>
        <v>0</v>
      </c>
      <c r="E102" s="2">
        <f>E93+E100-E101</f>
        <v>0</v>
      </c>
      <c r="G102" s="2">
        <f>G93+G100-G101</f>
        <v>0</v>
      </c>
      <c r="I102" s="2">
        <f>I93+I100-I101</f>
        <v>0</v>
      </c>
      <c r="K102" s="2">
        <f>K93+K100-K101</f>
        <v>0</v>
      </c>
    </row>
  </sheetData>
  <pageMargins left="0.75" right="0.75" top="0.75" bottom="0.75" header="0.3" footer="0.3"/>
  <pageSetup scale="68" fitToHeight="0" orientation="portrait" r:id="rId1"/>
  <rowBreaks count="1" manualBreakCount="1">
    <brk id="7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/>
  <dimension ref="A1:FD141"/>
  <sheetViews>
    <sheetView topLeftCell="S1" zoomScaleNormal="100" workbookViewId="0">
      <selection activeCell="AA28" sqref="AA28"/>
    </sheetView>
  </sheetViews>
  <sheetFormatPr defaultColWidth="10.6640625" defaultRowHeight="13.15" x14ac:dyDescent="0.4"/>
  <cols>
    <col min="1" max="1" width="5.1640625" style="117" customWidth="1"/>
    <col min="2" max="2" width="13.83203125" style="39" customWidth="1"/>
    <col min="3" max="3" width="20.5" style="39" bestFit="1" customWidth="1"/>
    <col min="4" max="4" width="17.1640625" style="39" customWidth="1"/>
    <col min="5" max="5" width="6.58203125" style="39" customWidth="1"/>
    <col min="6" max="6" width="15.1640625" style="39" customWidth="1"/>
    <col min="7" max="7" width="2.83203125" style="39" customWidth="1"/>
    <col min="8" max="8" width="16.5" style="39" customWidth="1"/>
    <col min="9" max="11" width="19" style="39" bestFit="1" customWidth="1"/>
    <col min="12" max="12" width="17.1640625" style="39" customWidth="1"/>
    <col min="13" max="13" width="20.5" style="39" bestFit="1" customWidth="1"/>
    <col min="14" max="14" width="6.58203125" style="39" customWidth="1"/>
    <col min="15" max="15" width="15.1640625" style="39" customWidth="1"/>
    <col min="16" max="16" width="2.83203125" style="39" customWidth="1"/>
    <col min="17" max="17" width="16.5" style="39" customWidth="1"/>
    <col min="18" max="20" width="19" style="39" bestFit="1" customWidth="1"/>
    <col min="21" max="21" width="17.1640625" style="39" customWidth="1"/>
    <col min="22" max="22" width="20.5" style="39" bestFit="1" customWidth="1"/>
    <col min="23" max="23" width="4.83203125" style="39" customWidth="1"/>
    <col min="24" max="24" width="17" style="39" customWidth="1"/>
    <col min="25" max="25" width="17.33203125" style="39" bestFit="1" customWidth="1"/>
    <col min="26" max="26" width="10" style="39" customWidth="1"/>
    <col min="27" max="27" width="17.33203125" style="39" bestFit="1" customWidth="1"/>
    <col min="28" max="28" width="10" style="39" customWidth="1"/>
    <col min="29" max="30" width="17.33203125" style="39" bestFit="1" customWidth="1"/>
    <col min="31" max="31" width="17.33203125" style="39" customWidth="1"/>
    <col min="32" max="32" width="19.1640625" style="39" bestFit="1" customWidth="1"/>
    <col min="33" max="33" width="4.83203125" style="39" customWidth="1"/>
    <col min="34" max="34" width="17" style="39" customWidth="1"/>
    <col min="35" max="35" width="17.33203125" style="39" bestFit="1" customWidth="1"/>
    <col min="36" max="36" width="10" style="39" customWidth="1"/>
    <col min="37" max="38" width="17.33203125" style="39" bestFit="1" customWidth="1"/>
    <col min="39" max="39" width="17.33203125" style="39" customWidth="1"/>
    <col min="40" max="40" width="19.1640625" style="39" bestFit="1" customWidth="1"/>
    <col min="41" max="41" width="4.83203125" style="39" customWidth="1"/>
    <col min="42" max="42" width="17" style="39" customWidth="1"/>
    <col min="43" max="43" width="17.33203125" style="39" bestFit="1" customWidth="1"/>
    <col min="44" max="44" width="13.1640625" style="39" customWidth="1"/>
    <col min="45" max="46" width="17.33203125" style="39" bestFit="1" customWidth="1"/>
    <col min="47" max="47" width="17.33203125" style="39" customWidth="1"/>
    <col min="48" max="48" width="19.1640625" style="39" bestFit="1" customWidth="1"/>
    <col min="49" max="49" width="4.83203125" style="39" customWidth="1"/>
    <col min="50" max="50" width="17" style="39" customWidth="1"/>
    <col min="51" max="51" width="17.33203125" style="39" bestFit="1" customWidth="1"/>
    <col min="52" max="52" width="12.1640625" style="101" customWidth="1"/>
    <col min="53" max="54" width="17.33203125" style="39" bestFit="1" customWidth="1"/>
    <col min="55" max="55" width="19.1640625" style="39" bestFit="1" customWidth="1"/>
    <col min="56" max="56" width="4.83203125" style="39" customWidth="1"/>
    <col min="57" max="57" width="17" style="39" customWidth="1"/>
    <col min="58" max="58" width="17.33203125" style="39" bestFit="1" customWidth="1"/>
    <col min="59" max="59" width="14.75" style="39" bestFit="1" customWidth="1"/>
    <col min="60" max="61" width="17.33203125" style="39" bestFit="1" customWidth="1"/>
    <col min="62" max="62" width="19.1640625" style="39" bestFit="1" customWidth="1"/>
    <col min="63" max="63" width="5.1640625" style="39" customWidth="1"/>
    <col min="64" max="64" width="18.1640625" style="39" customWidth="1"/>
    <col min="65" max="65" width="15.83203125" style="39" bestFit="1" customWidth="1"/>
    <col min="66" max="66" width="12.1640625" style="39" customWidth="1"/>
    <col min="67" max="67" width="16.1640625" style="39" customWidth="1"/>
    <col min="68" max="68" width="17.33203125" style="39" bestFit="1" customWidth="1"/>
    <col min="69" max="69" width="5.1640625" style="39" customWidth="1"/>
    <col min="70" max="70" width="18.1640625" style="39" customWidth="1"/>
    <col min="71" max="71" width="15.83203125" style="39" bestFit="1" customWidth="1"/>
    <col min="72" max="72" width="9.33203125" style="39" customWidth="1"/>
    <col min="73" max="73" width="16.1640625" style="39" customWidth="1"/>
    <col min="74" max="74" width="17.33203125" style="39" bestFit="1" customWidth="1"/>
    <col min="75" max="75" width="5.1640625" style="39" customWidth="1"/>
    <col min="76" max="76" width="17" style="39" customWidth="1"/>
    <col min="77" max="77" width="17.33203125" style="39" bestFit="1" customWidth="1"/>
    <col min="78" max="78" width="15.58203125" style="39" customWidth="1"/>
    <col min="79" max="80" width="17.33203125" style="39" bestFit="1" customWidth="1"/>
    <col min="81" max="81" width="19.1640625" style="39" bestFit="1" customWidth="1"/>
    <col min="82" max="82" width="5.1640625" style="39" customWidth="1"/>
    <col min="83" max="83" width="15.6640625" style="39" hidden="1" customWidth="1"/>
    <col min="84" max="84" width="15" style="39" hidden="1" customWidth="1"/>
    <col min="85" max="85" width="9.33203125" style="39" hidden="1" customWidth="1"/>
    <col min="86" max="86" width="11.83203125" style="39" hidden="1" customWidth="1"/>
    <col min="87" max="87" width="15" style="39" hidden="1" customWidth="1"/>
    <col min="88" max="88" width="5.1640625" style="39" hidden="1" customWidth="1"/>
    <col min="89" max="89" width="20.33203125" style="39" customWidth="1"/>
    <col min="90" max="90" width="17.33203125" style="39" bestFit="1" customWidth="1"/>
    <col min="91" max="91" width="10.75" style="39" customWidth="1"/>
    <col min="92" max="94" width="19.1640625" style="39" bestFit="1" customWidth="1"/>
    <col min="95" max="95" width="5.1640625" style="39" customWidth="1"/>
    <col min="96" max="96" width="18.83203125" style="39" customWidth="1"/>
    <col min="97" max="97" width="17.1640625" style="39" customWidth="1"/>
    <col min="98" max="98" width="9.33203125" style="39" customWidth="1"/>
    <col min="99" max="99" width="18.33203125" style="39" customWidth="1"/>
    <col min="100" max="100" width="17.83203125" style="39" customWidth="1"/>
    <col min="101" max="101" width="4.83203125" style="39" customWidth="1"/>
    <col min="102" max="102" width="16.33203125" style="39" customWidth="1"/>
    <col min="103" max="103" width="17.33203125" style="39" bestFit="1" customWidth="1"/>
    <col min="104" max="104" width="9.33203125" style="39" hidden="1" customWidth="1"/>
    <col min="105" max="105" width="17" style="39" customWidth="1"/>
    <col min="106" max="107" width="19.1640625" style="39" bestFit="1" customWidth="1"/>
    <col min="108" max="108" width="4.83203125" style="39" customWidth="1"/>
    <col min="109" max="109" width="18.1640625" style="39" customWidth="1"/>
    <col min="110" max="110" width="16.1640625" style="39" customWidth="1"/>
    <col min="111" max="111" width="9.33203125" style="39" customWidth="1"/>
    <col min="112" max="112" width="17.1640625" style="39" customWidth="1"/>
    <col min="113" max="114" width="16.1640625" style="39" customWidth="1"/>
    <col min="115" max="115" width="4.83203125" style="39" hidden="1" customWidth="1"/>
    <col min="116" max="116" width="18.6640625" style="39" hidden="1" customWidth="1"/>
    <col min="117" max="117" width="15.83203125" style="39" hidden="1" customWidth="1"/>
    <col min="118" max="118" width="9.33203125" style="39" hidden="1" customWidth="1"/>
    <col min="119" max="119" width="13.83203125" style="39" hidden="1" customWidth="1"/>
    <col min="120" max="120" width="15.83203125" style="39" hidden="1" customWidth="1"/>
    <col min="121" max="121" width="4.83203125" style="39" customWidth="1"/>
    <col min="122" max="122" width="19.33203125" style="39" customWidth="1"/>
    <col min="123" max="123" width="15" style="39" customWidth="1"/>
    <col min="124" max="124" width="9.33203125" style="39" customWidth="1"/>
    <col min="125" max="125" width="15" style="39" customWidth="1"/>
    <col min="126" max="126" width="16.1640625" style="39" customWidth="1"/>
    <col min="127" max="127" width="4.83203125" style="39" customWidth="1"/>
    <col min="128" max="128" width="21.1640625" style="39" customWidth="1"/>
    <col min="129" max="129" width="16.6640625" style="39" customWidth="1"/>
    <col min="130" max="130" width="9.33203125" style="39" customWidth="1"/>
    <col min="131" max="131" width="18" style="39" customWidth="1"/>
    <col min="132" max="132" width="17.1640625" style="39" customWidth="1"/>
    <col min="133" max="133" width="4.83203125" style="39" customWidth="1"/>
    <col min="134" max="134" width="20.5" style="39" customWidth="1"/>
    <col min="135" max="135" width="16.5" style="39" customWidth="1"/>
    <col min="136" max="136" width="9.33203125" style="39" customWidth="1"/>
    <col min="137" max="137" width="9" style="39" customWidth="1"/>
    <col min="138" max="138" width="18.33203125" style="39" customWidth="1"/>
    <col min="139" max="139" width="19.33203125" style="39" customWidth="1"/>
    <col min="140" max="140" width="10.6640625" style="39" customWidth="1"/>
    <col min="141" max="141" width="20" style="39" customWidth="1"/>
    <col min="142" max="142" width="17.1640625" style="39" customWidth="1"/>
    <col min="143" max="143" width="9.33203125" style="39" customWidth="1"/>
    <col min="144" max="144" width="9" style="39" customWidth="1"/>
    <col min="145" max="145" width="19" style="39" customWidth="1"/>
    <col min="146" max="146" width="17.5" style="39" customWidth="1"/>
    <col min="147" max="147" width="4.83203125" style="39" customWidth="1"/>
    <col min="148" max="148" width="18" style="39" customWidth="1"/>
    <col min="149" max="149" width="16.6640625" style="39" customWidth="1"/>
    <col min="150" max="150" width="9.33203125" style="39" customWidth="1"/>
    <col min="151" max="151" width="9" style="39" customWidth="1"/>
    <col min="152" max="152" width="17" style="39" customWidth="1"/>
    <col min="153" max="153" width="17.1640625" style="39" customWidth="1"/>
    <col min="154" max="154" width="4.83203125" style="39" customWidth="1"/>
    <col min="155" max="155" width="19.1640625" style="39" customWidth="1"/>
    <col min="156" max="156" width="16.5" style="39" customWidth="1"/>
    <col min="157" max="157" width="9.33203125" style="39" customWidth="1"/>
    <col min="158" max="158" width="13.33203125" style="39" customWidth="1"/>
    <col min="159" max="160" width="18" style="39" customWidth="1"/>
    <col min="161" max="16384" width="10.6640625" style="39"/>
  </cols>
  <sheetData>
    <row r="1" spans="1:160" ht="13.5" thickBot="1" x14ac:dyDescent="0.45"/>
    <row r="2" spans="1:160" x14ac:dyDescent="0.4">
      <c r="B2" s="64"/>
      <c r="C2" s="65">
        <f>M95</f>
        <v>12224161639.42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AG2" s="64"/>
      <c r="AO2" s="64"/>
      <c r="AW2" s="64"/>
      <c r="BD2" s="64"/>
      <c r="BK2" s="64"/>
      <c r="BL2" s="64"/>
      <c r="BM2" s="64"/>
      <c r="BO2" s="64"/>
      <c r="BP2" s="64"/>
      <c r="BQ2" s="64"/>
      <c r="BR2" s="64"/>
      <c r="BS2" s="64"/>
      <c r="BT2" s="64"/>
      <c r="BU2" s="64"/>
      <c r="BV2" s="64"/>
    </row>
    <row r="3" spans="1:160" ht="13.5" thickBot="1" x14ac:dyDescent="0.45">
      <c r="C3" s="66">
        <f>C2-'Total Debt'!M93</f>
        <v>0</v>
      </c>
    </row>
    <row r="4" spans="1:160" x14ac:dyDescent="0.4">
      <c r="CW4" s="67"/>
      <c r="DD4" s="67"/>
      <c r="DK4" s="67"/>
      <c r="DQ4" s="67"/>
      <c r="DW4" s="67"/>
      <c r="EC4" s="67"/>
    </row>
    <row r="5" spans="1:160" x14ac:dyDescent="0.4">
      <c r="B5" s="68" t="s">
        <v>48</v>
      </c>
      <c r="C5" s="69"/>
      <c r="D5" s="69"/>
      <c r="F5" s="70"/>
      <c r="G5" s="70"/>
      <c r="H5" s="68" t="s">
        <v>48</v>
      </c>
      <c r="I5" s="69"/>
      <c r="J5" s="69"/>
      <c r="K5" s="69"/>
      <c r="L5" s="69"/>
      <c r="M5" s="69"/>
      <c r="O5" s="70"/>
      <c r="P5" s="70"/>
      <c r="Q5" s="68" t="s">
        <v>48</v>
      </c>
      <c r="R5" s="69"/>
      <c r="S5" s="69"/>
      <c r="T5" s="69"/>
      <c r="U5" s="69"/>
      <c r="V5" s="69"/>
      <c r="X5" s="68" t="s">
        <v>48</v>
      </c>
      <c r="Y5" s="69"/>
      <c r="Z5" s="69"/>
      <c r="AA5" s="69"/>
      <c r="AB5" s="69"/>
      <c r="AC5" s="69"/>
      <c r="AD5" s="69"/>
      <c r="AE5" s="69"/>
      <c r="AF5" s="69"/>
      <c r="AH5" s="68" t="s">
        <v>48</v>
      </c>
      <c r="AI5" s="69"/>
      <c r="AJ5" s="69"/>
      <c r="AK5" s="69"/>
      <c r="AL5" s="69"/>
      <c r="AM5" s="69"/>
      <c r="AN5" s="69"/>
      <c r="AP5" s="68" t="s">
        <v>48</v>
      </c>
      <c r="AQ5" s="69"/>
      <c r="AR5" s="69"/>
      <c r="AS5" s="69"/>
      <c r="AT5" s="69"/>
      <c r="AU5" s="69"/>
      <c r="AV5" s="69"/>
      <c r="AX5" s="68" t="s">
        <v>48</v>
      </c>
      <c r="AY5" s="69"/>
      <c r="AZ5" s="177"/>
      <c r="BA5" s="69"/>
      <c r="BB5" s="69"/>
      <c r="BC5" s="69"/>
      <c r="BE5" s="68" t="s">
        <v>48</v>
      </c>
      <c r="BF5" s="69"/>
      <c r="BG5" s="69"/>
      <c r="BH5" s="69"/>
      <c r="BI5" s="69"/>
      <c r="BJ5" s="69"/>
      <c r="BL5" s="68" t="s">
        <v>48</v>
      </c>
      <c r="BM5" s="69"/>
      <c r="BN5" s="69"/>
      <c r="BO5" s="69"/>
      <c r="BP5" s="69"/>
      <c r="BR5" s="68" t="s">
        <v>48</v>
      </c>
      <c r="BS5" s="69"/>
      <c r="BT5" s="69"/>
      <c r="BU5" s="69"/>
      <c r="BV5" s="69"/>
      <c r="BX5" s="68" t="s">
        <v>48</v>
      </c>
      <c r="BY5" s="69"/>
      <c r="BZ5" s="69"/>
      <c r="CA5" s="69"/>
      <c r="CB5" s="69"/>
      <c r="CC5" s="69"/>
      <c r="CE5" s="68" t="s">
        <v>48</v>
      </c>
      <c r="CF5" s="69"/>
      <c r="CG5" s="69"/>
      <c r="CH5" s="69"/>
      <c r="CI5" s="69"/>
      <c r="CK5" s="68" t="s">
        <v>48</v>
      </c>
      <c r="CL5" s="69"/>
      <c r="CM5" s="69"/>
      <c r="CN5" s="69"/>
      <c r="CO5" s="69"/>
      <c r="CP5" s="69"/>
      <c r="CR5" s="68" t="s">
        <v>48</v>
      </c>
      <c r="CS5" s="69"/>
      <c r="CT5" s="69"/>
      <c r="CU5" s="69"/>
      <c r="CV5" s="69"/>
      <c r="CW5" s="67"/>
      <c r="CX5" s="68" t="s">
        <v>48</v>
      </c>
      <c r="CY5" s="69"/>
      <c r="CZ5" s="69"/>
      <c r="DA5" s="69"/>
      <c r="DB5" s="69"/>
      <c r="DC5" s="69"/>
      <c r="DD5" s="67"/>
      <c r="DE5" s="68" t="s">
        <v>48</v>
      </c>
      <c r="DF5" s="69"/>
      <c r="DG5" s="69"/>
      <c r="DH5" s="69"/>
      <c r="DI5" s="69"/>
      <c r="DJ5" s="69"/>
      <c r="DK5" s="67"/>
      <c r="DL5" s="68" t="s">
        <v>48</v>
      </c>
      <c r="DM5" s="69"/>
      <c r="DN5" s="69"/>
      <c r="DO5" s="69"/>
      <c r="DP5" s="69"/>
      <c r="DQ5" s="67"/>
      <c r="DR5" s="68" t="s">
        <v>48</v>
      </c>
      <c r="DS5" s="69"/>
      <c r="DT5" s="69"/>
      <c r="DU5" s="69"/>
      <c r="DV5" s="69"/>
      <c r="DW5" s="67"/>
      <c r="DX5" s="68" t="s">
        <v>48</v>
      </c>
      <c r="DY5" s="69"/>
      <c r="DZ5" s="69"/>
      <c r="EA5" s="69"/>
      <c r="EB5" s="69"/>
      <c r="EC5" s="67"/>
      <c r="ED5" s="68" t="s">
        <v>48</v>
      </c>
      <c r="EE5" s="69"/>
      <c r="EF5" s="69"/>
      <c r="EG5" s="69"/>
      <c r="EH5" s="69"/>
      <c r="EI5" s="69"/>
      <c r="EK5" s="68" t="s">
        <v>48</v>
      </c>
      <c r="EL5" s="69"/>
      <c r="EM5" s="69"/>
      <c r="EN5" s="69"/>
      <c r="EO5" s="69"/>
      <c r="EP5" s="69"/>
      <c r="ER5" s="68" t="s">
        <v>48</v>
      </c>
      <c r="ES5" s="69"/>
      <c r="ET5" s="69"/>
      <c r="EU5" s="69"/>
      <c r="EV5" s="69"/>
      <c r="EW5" s="69"/>
      <c r="EY5" s="68" t="s">
        <v>48</v>
      </c>
      <c r="EZ5" s="69"/>
      <c r="FA5" s="69"/>
      <c r="FB5" s="69"/>
      <c r="FC5" s="69"/>
      <c r="FD5" s="69"/>
    </row>
    <row r="6" spans="1:160" x14ac:dyDescent="0.4">
      <c r="B6" s="71" t="s">
        <v>49</v>
      </c>
      <c r="F6" s="72"/>
      <c r="G6" s="72"/>
      <c r="H6" s="72" t="s">
        <v>49</v>
      </c>
      <c r="I6" s="72"/>
      <c r="J6" s="72"/>
      <c r="K6" s="72"/>
      <c r="L6" s="72"/>
      <c r="M6" s="72"/>
      <c r="O6" s="72"/>
      <c r="P6" s="72"/>
      <c r="Q6" s="72" t="s">
        <v>49</v>
      </c>
      <c r="R6" s="72"/>
      <c r="S6" s="72"/>
      <c r="T6" s="72"/>
      <c r="U6" s="72"/>
      <c r="V6" s="72"/>
      <c r="X6" s="71" t="s">
        <v>49</v>
      </c>
      <c r="Y6" s="72"/>
      <c r="Z6" s="72"/>
      <c r="AA6" s="72"/>
      <c r="AB6" s="72"/>
      <c r="AC6" s="72"/>
      <c r="AD6" s="72"/>
      <c r="AE6" s="72"/>
      <c r="AF6" s="72"/>
      <c r="AH6" s="71" t="s">
        <v>49</v>
      </c>
      <c r="AI6" s="72"/>
      <c r="AJ6" s="72"/>
      <c r="AK6" s="72"/>
      <c r="AL6" s="72"/>
      <c r="AM6" s="72"/>
      <c r="AN6" s="72"/>
      <c r="AP6" s="71" t="s">
        <v>49</v>
      </c>
      <c r="AQ6" s="72"/>
      <c r="AR6" s="72"/>
      <c r="AS6" s="72"/>
      <c r="AT6" s="72"/>
      <c r="AU6" s="72"/>
      <c r="AV6" s="72"/>
      <c r="AX6" s="71" t="s">
        <v>49</v>
      </c>
      <c r="AY6" s="72"/>
      <c r="AZ6" s="178"/>
      <c r="BA6" s="72"/>
      <c r="BB6" s="72"/>
      <c r="BC6" s="72"/>
      <c r="BE6" s="71" t="s">
        <v>49</v>
      </c>
      <c r="BF6" s="72"/>
      <c r="BG6" s="72"/>
      <c r="BH6" s="72"/>
      <c r="BI6" s="72"/>
      <c r="BJ6" s="72"/>
      <c r="BL6" s="71" t="s">
        <v>49</v>
      </c>
      <c r="BM6" s="72"/>
      <c r="BN6" s="72"/>
      <c r="BO6" s="72"/>
      <c r="BP6" s="72"/>
      <c r="BR6" s="71" t="s">
        <v>49</v>
      </c>
      <c r="BS6" s="72"/>
      <c r="BT6" s="72"/>
      <c r="BU6" s="72"/>
      <c r="BV6" s="72"/>
      <c r="BX6" s="71" t="s">
        <v>49</v>
      </c>
      <c r="BY6" s="72"/>
      <c r="BZ6" s="72"/>
      <c r="CA6" s="72"/>
      <c r="CB6" s="72"/>
      <c r="CC6" s="72"/>
      <c r="CD6" s="67"/>
      <c r="CE6" s="71" t="s">
        <v>49</v>
      </c>
      <c r="CF6" s="72"/>
      <c r="CG6" s="72"/>
      <c r="CH6" s="72"/>
      <c r="CI6" s="72"/>
      <c r="CJ6" s="67"/>
      <c r="CK6" s="71" t="s">
        <v>49</v>
      </c>
      <c r="CL6" s="72"/>
      <c r="CM6" s="72"/>
      <c r="CN6" s="72"/>
      <c r="CO6" s="72"/>
      <c r="CP6" s="72"/>
      <c r="CQ6" s="67"/>
      <c r="CR6" s="71" t="s">
        <v>49</v>
      </c>
      <c r="CS6" s="72"/>
      <c r="CT6" s="72"/>
      <c r="CU6" s="72"/>
      <c r="CV6" s="72"/>
      <c r="CW6" s="72"/>
      <c r="CX6" s="71" t="s">
        <v>49</v>
      </c>
      <c r="CY6" s="72"/>
      <c r="CZ6" s="72"/>
      <c r="DA6" s="72"/>
      <c r="DB6" s="72"/>
      <c r="DC6" s="72"/>
      <c r="DD6" s="72"/>
      <c r="DE6" s="71" t="s">
        <v>49</v>
      </c>
      <c r="DF6" s="72"/>
      <c r="DG6" s="72"/>
      <c r="DH6" s="72"/>
      <c r="DI6" s="72"/>
      <c r="DJ6" s="72"/>
      <c r="DK6" s="72"/>
      <c r="DL6" s="71" t="s">
        <v>49</v>
      </c>
      <c r="DM6" s="72"/>
      <c r="DN6" s="72"/>
      <c r="DO6" s="72"/>
      <c r="DP6" s="72"/>
      <c r="DQ6" s="72"/>
      <c r="DR6" s="71" t="s">
        <v>49</v>
      </c>
      <c r="DS6" s="72"/>
      <c r="DT6" s="72"/>
      <c r="DU6" s="72"/>
      <c r="DV6" s="72"/>
      <c r="DW6" s="72"/>
      <c r="DX6" s="71" t="s">
        <v>49</v>
      </c>
      <c r="DY6" s="72"/>
      <c r="DZ6" s="72"/>
      <c r="EA6" s="72"/>
      <c r="EB6" s="72"/>
      <c r="EC6" s="72"/>
      <c r="ED6" s="71" t="s">
        <v>49</v>
      </c>
      <c r="EE6" s="72"/>
      <c r="EF6" s="72"/>
      <c r="EG6" s="72"/>
      <c r="EH6" s="72"/>
      <c r="EI6" s="72"/>
      <c r="EJ6" s="67"/>
      <c r="EK6" s="71" t="s">
        <v>49</v>
      </c>
      <c r="EL6" s="72"/>
      <c r="EM6" s="72"/>
      <c r="EN6" s="72"/>
      <c r="EO6" s="72"/>
      <c r="EP6" s="72"/>
      <c r="EQ6" s="67"/>
      <c r="ER6" s="71" t="s">
        <v>49</v>
      </c>
      <c r="ES6" s="72"/>
      <c r="ET6" s="72"/>
      <c r="EU6" s="72"/>
      <c r="EV6" s="72"/>
      <c r="EW6" s="72"/>
      <c r="EX6" s="67"/>
      <c r="EY6" s="71" t="s">
        <v>49</v>
      </c>
      <c r="EZ6" s="72"/>
      <c r="FA6" s="72"/>
      <c r="FB6" s="72"/>
      <c r="FC6" s="72"/>
      <c r="FD6" s="72"/>
    </row>
    <row r="7" spans="1:160" x14ac:dyDescent="0.4">
      <c r="B7" s="39" t="s">
        <v>50</v>
      </c>
      <c r="F7" s="72"/>
      <c r="G7" s="72"/>
      <c r="H7" s="72" t="s">
        <v>55</v>
      </c>
      <c r="I7" s="72"/>
      <c r="J7" s="72"/>
      <c r="K7" s="72"/>
      <c r="L7" s="72"/>
      <c r="M7" s="72"/>
      <c r="O7" s="72"/>
      <c r="P7" s="72"/>
      <c r="Q7" s="72" t="s">
        <v>59</v>
      </c>
      <c r="R7" s="72"/>
      <c r="S7" s="72"/>
      <c r="T7" s="72"/>
      <c r="U7" s="72"/>
      <c r="V7" s="72"/>
      <c r="X7" s="71" t="s">
        <v>107</v>
      </c>
      <c r="Y7" s="72"/>
      <c r="Z7" s="72"/>
      <c r="AA7" s="72"/>
      <c r="AB7" s="72"/>
      <c r="AC7" s="72"/>
      <c r="AD7" s="72"/>
      <c r="AE7" s="72"/>
      <c r="AF7" s="72"/>
      <c r="AH7" s="71" t="s">
        <v>60</v>
      </c>
      <c r="AI7" s="72"/>
      <c r="AJ7" s="72"/>
      <c r="AK7" s="72"/>
      <c r="AL7" s="72"/>
      <c r="AM7" s="72"/>
      <c r="AN7" s="72"/>
      <c r="AP7" s="71" t="s">
        <v>58</v>
      </c>
      <c r="AQ7" s="72"/>
      <c r="AR7" s="72"/>
      <c r="AS7" s="72"/>
      <c r="AT7" s="72"/>
      <c r="AU7" s="72"/>
      <c r="AV7" s="72"/>
      <c r="AX7" s="71" t="s">
        <v>61</v>
      </c>
      <c r="AY7" s="72"/>
      <c r="AZ7" s="178"/>
      <c r="BA7" s="72"/>
      <c r="BB7" s="72"/>
      <c r="BC7" s="72"/>
      <c r="BE7" s="71" t="s">
        <v>62</v>
      </c>
      <c r="BF7" s="72"/>
      <c r="BG7" s="72"/>
      <c r="BH7" s="72"/>
      <c r="BI7" s="72"/>
      <c r="BJ7" s="72"/>
      <c r="BL7" s="71" t="s">
        <v>63</v>
      </c>
      <c r="BM7" s="72"/>
      <c r="BN7" s="72"/>
      <c r="BO7" s="72"/>
      <c r="BP7" s="72"/>
      <c r="BR7" s="71" t="s">
        <v>64</v>
      </c>
      <c r="BS7" s="72"/>
      <c r="BT7" s="72"/>
      <c r="BU7" s="72"/>
      <c r="BV7" s="72"/>
      <c r="BX7" s="71" t="s">
        <v>65</v>
      </c>
      <c r="BY7" s="72"/>
      <c r="BZ7" s="72"/>
      <c r="CA7" s="72"/>
      <c r="CB7" s="72"/>
      <c r="CC7" s="72"/>
      <c r="CD7" s="67"/>
      <c r="CE7" s="71" t="s">
        <v>66</v>
      </c>
      <c r="CF7" s="72"/>
      <c r="CG7" s="72"/>
      <c r="CH7" s="72"/>
      <c r="CI7" s="72"/>
      <c r="CJ7" s="67"/>
      <c r="CK7" s="71" t="s">
        <v>67</v>
      </c>
      <c r="CL7" s="72"/>
      <c r="CM7" s="72"/>
      <c r="CN7" s="72"/>
      <c r="CO7" s="72"/>
      <c r="CP7" s="72"/>
      <c r="CQ7" s="67"/>
      <c r="CR7" s="71" t="s">
        <v>68</v>
      </c>
      <c r="CS7" s="72"/>
      <c r="CT7" s="72"/>
      <c r="CU7" s="72"/>
      <c r="CV7" s="72"/>
      <c r="CW7" s="67"/>
      <c r="CX7" s="71" t="s">
        <v>69</v>
      </c>
      <c r="CY7" s="73"/>
      <c r="CZ7" s="72"/>
      <c r="DA7" s="73"/>
      <c r="DB7" s="73"/>
      <c r="DC7" s="73"/>
      <c r="DD7" s="73"/>
      <c r="DE7" s="71" t="s">
        <v>70</v>
      </c>
      <c r="DF7" s="73"/>
      <c r="DG7" s="72"/>
      <c r="DH7" s="73"/>
      <c r="DI7" s="73"/>
      <c r="DJ7" s="73"/>
      <c r="DK7" s="73"/>
      <c r="DL7" s="71" t="s">
        <v>71</v>
      </c>
      <c r="DM7" s="72"/>
      <c r="DN7" s="72"/>
      <c r="DO7" s="72"/>
      <c r="DP7" s="72"/>
      <c r="DQ7" s="67"/>
      <c r="DR7" s="71" t="s">
        <v>72</v>
      </c>
      <c r="DS7" s="72"/>
      <c r="DT7" s="72"/>
      <c r="DU7" s="72"/>
      <c r="DV7" s="72"/>
      <c r="DW7" s="67"/>
      <c r="DX7" s="71" t="s">
        <v>73</v>
      </c>
      <c r="DY7" s="72"/>
      <c r="DZ7" s="72"/>
      <c r="EA7" s="72"/>
      <c r="EB7" s="72"/>
      <c r="EC7" s="67"/>
      <c r="ED7" s="71" t="s">
        <v>74</v>
      </c>
      <c r="EE7" s="72"/>
      <c r="EF7" s="72"/>
      <c r="EG7" s="72"/>
      <c r="EH7" s="72"/>
      <c r="EI7" s="72"/>
      <c r="EJ7" s="67"/>
      <c r="EK7" s="71" t="s">
        <v>75</v>
      </c>
      <c r="EL7" s="72"/>
      <c r="EM7" s="72"/>
      <c r="EN7" s="72"/>
      <c r="EO7" s="72"/>
      <c r="EP7" s="72"/>
      <c r="EQ7" s="67"/>
      <c r="ER7" s="71" t="s">
        <v>76</v>
      </c>
      <c r="ES7" s="72"/>
      <c r="ET7" s="72"/>
      <c r="EU7" s="72"/>
      <c r="EV7" s="72"/>
      <c r="EW7" s="72"/>
      <c r="EX7" s="67"/>
      <c r="EY7" s="71" t="s">
        <v>77</v>
      </c>
      <c r="EZ7" s="72"/>
      <c r="FA7" s="72"/>
      <c r="FB7" s="72"/>
      <c r="FC7" s="72"/>
      <c r="FD7" s="72"/>
    </row>
    <row r="8" spans="1:160" x14ac:dyDescent="0.4">
      <c r="F8" s="72"/>
      <c r="G8" s="72"/>
      <c r="H8" s="72"/>
      <c r="I8" s="72"/>
      <c r="J8" s="72"/>
      <c r="K8" s="72"/>
      <c r="L8" s="72"/>
      <c r="M8" s="72"/>
      <c r="O8" s="72"/>
      <c r="P8" s="72"/>
      <c r="Q8" s="72"/>
      <c r="R8" s="72"/>
      <c r="S8" s="72"/>
      <c r="T8" s="72"/>
      <c r="U8" s="72"/>
      <c r="V8" s="72"/>
      <c r="X8" s="74"/>
      <c r="Y8" s="75"/>
      <c r="Z8" s="75"/>
      <c r="AA8" s="75"/>
      <c r="AB8" s="75"/>
      <c r="AC8" s="75"/>
      <c r="AD8" s="75"/>
      <c r="AE8" s="75"/>
      <c r="AF8" s="75"/>
      <c r="AH8" s="74"/>
      <c r="AI8" s="75"/>
      <c r="AJ8" s="75"/>
      <c r="AK8" s="75"/>
      <c r="AL8" s="75"/>
      <c r="AM8" s="75"/>
      <c r="AN8" s="75"/>
      <c r="AP8" s="74"/>
      <c r="AQ8" s="75"/>
      <c r="AR8" s="75"/>
      <c r="AS8" s="75"/>
      <c r="AT8" s="75"/>
      <c r="AU8" s="75"/>
      <c r="AV8" s="75"/>
      <c r="AX8" s="74"/>
      <c r="AY8" s="75"/>
      <c r="AZ8" s="179"/>
      <c r="BA8" s="75"/>
      <c r="BB8" s="75"/>
      <c r="BC8" s="75"/>
      <c r="BE8" s="74"/>
      <c r="BF8" s="75"/>
      <c r="BG8" s="75"/>
      <c r="BH8" s="75"/>
      <c r="BI8" s="75"/>
      <c r="BJ8" s="75"/>
      <c r="BL8" s="74"/>
      <c r="BM8" s="75"/>
      <c r="BN8" s="75"/>
      <c r="BO8" s="75"/>
      <c r="BP8" s="75"/>
      <c r="BR8" s="74"/>
      <c r="BS8" s="75"/>
      <c r="BT8" s="75"/>
      <c r="BU8" s="75"/>
      <c r="BV8" s="75"/>
      <c r="BX8" s="74"/>
      <c r="BY8" s="75"/>
      <c r="BZ8" s="75"/>
      <c r="CA8" s="75"/>
      <c r="CB8" s="75"/>
      <c r="CC8" s="75"/>
      <c r="CD8" s="67"/>
      <c r="CE8" s="74"/>
      <c r="CF8" s="75"/>
      <c r="CG8" s="75"/>
      <c r="CH8" s="75"/>
      <c r="CI8" s="75"/>
      <c r="CJ8" s="67"/>
      <c r="CK8" s="75"/>
      <c r="CL8" s="75"/>
      <c r="CM8" s="75"/>
      <c r="CN8" s="75"/>
      <c r="CO8" s="75"/>
      <c r="CP8" s="75"/>
      <c r="CQ8" s="67"/>
      <c r="CR8" s="75"/>
      <c r="CS8" s="75"/>
      <c r="CT8" s="75"/>
      <c r="CU8" s="75"/>
      <c r="CV8" s="75"/>
      <c r="CW8" s="67"/>
      <c r="CX8" s="74"/>
      <c r="CY8" s="75"/>
      <c r="CZ8" s="75"/>
      <c r="DA8" s="75"/>
      <c r="DB8" s="75"/>
      <c r="DC8" s="75"/>
      <c r="DD8" s="75"/>
      <c r="DE8" s="74"/>
      <c r="DF8" s="75"/>
      <c r="DG8" s="75"/>
      <c r="DH8" s="75"/>
      <c r="DI8" s="75"/>
      <c r="DJ8" s="75"/>
      <c r="DK8" s="75"/>
      <c r="DL8" s="74"/>
      <c r="DM8" s="75"/>
      <c r="DN8" s="75"/>
      <c r="DO8" s="75"/>
      <c r="DP8" s="75"/>
      <c r="DQ8" s="67"/>
      <c r="DR8" s="74"/>
      <c r="DS8" s="75"/>
      <c r="DT8" s="75"/>
      <c r="DU8" s="75"/>
      <c r="DV8" s="75"/>
      <c r="DW8" s="67"/>
      <c r="DX8" s="74"/>
      <c r="DY8" s="75"/>
      <c r="DZ8" s="75"/>
      <c r="EA8" s="75"/>
      <c r="EB8" s="75"/>
      <c r="EC8" s="67"/>
      <c r="ED8" s="74"/>
      <c r="EE8" s="75"/>
      <c r="EF8" s="75"/>
      <c r="EG8" s="75"/>
      <c r="EH8" s="75"/>
      <c r="EI8" s="75"/>
      <c r="EJ8" s="67"/>
      <c r="EK8" s="74"/>
      <c r="EL8" s="75"/>
      <c r="EM8" s="75"/>
      <c r="EN8" s="75"/>
      <c r="EO8" s="75"/>
      <c r="EP8" s="75"/>
      <c r="EQ8" s="67"/>
      <c r="ER8" s="74"/>
      <c r="ES8" s="75"/>
      <c r="ET8" s="75"/>
      <c r="EU8" s="75"/>
      <c r="EV8" s="75"/>
      <c r="EW8" s="75"/>
      <c r="EX8" s="67"/>
      <c r="EY8" s="74"/>
      <c r="EZ8" s="75"/>
      <c r="FA8" s="75"/>
      <c r="FB8" s="75"/>
      <c r="FC8" s="75"/>
      <c r="FD8" s="75"/>
    </row>
    <row r="9" spans="1:160" x14ac:dyDescent="0.4">
      <c r="B9" s="71" t="s">
        <v>51</v>
      </c>
      <c r="C9" s="76" t="s">
        <v>52</v>
      </c>
      <c r="D9" s="76"/>
      <c r="F9" s="72" t="s">
        <v>51</v>
      </c>
      <c r="G9" s="72"/>
      <c r="H9" s="72" t="s">
        <v>56</v>
      </c>
      <c r="I9" s="76"/>
      <c r="J9" s="76"/>
      <c r="K9" s="76" t="s">
        <v>35</v>
      </c>
      <c r="L9" s="76" t="s">
        <v>57</v>
      </c>
      <c r="M9" s="76" t="s">
        <v>52</v>
      </c>
      <c r="O9" s="71"/>
      <c r="Q9" s="71" t="s">
        <v>51</v>
      </c>
      <c r="T9" s="76" t="s">
        <v>35</v>
      </c>
      <c r="U9" s="76" t="s">
        <v>57</v>
      </c>
      <c r="X9" s="71" t="s">
        <v>51</v>
      </c>
      <c r="AD9" s="76" t="s">
        <v>35</v>
      </c>
      <c r="AE9" s="76" t="s">
        <v>57</v>
      </c>
      <c r="AH9" s="71" t="s">
        <v>51</v>
      </c>
      <c r="AL9" s="76" t="s">
        <v>35</v>
      </c>
      <c r="AM9" s="76" t="s">
        <v>57</v>
      </c>
      <c r="AP9" s="71" t="s">
        <v>51</v>
      </c>
      <c r="AT9" s="76" t="s">
        <v>35</v>
      </c>
      <c r="AU9" s="76" t="s">
        <v>57</v>
      </c>
      <c r="AX9" s="71" t="s">
        <v>51</v>
      </c>
      <c r="BB9" s="76" t="s">
        <v>35</v>
      </c>
      <c r="BE9" s="71" t="s">
        <v>51</v>
      </c>
      <c r="BI9" s="76" t="s">
        <v>35</v>
      </c>
      <c r="BL9" s="71" t="s">
        <v>51</v>
      </c>
      <c r="BR9" s="71" t="s">
        <v>51</v>
      </c>
      <c r="BX9" s="71" t="s">
        <v>51</v>
      </c>
      <c r="CB9" s="76" t="s">
        <v>35</v>
      </c>
      <c r="CD9" s="67"/>
      <c r="CE9" s="71" t="s">
        <v>51</v>
      </c>
      <c r="CF9" s="77"/>
      <c r="CG9" s="77"/>
      <c r="CH9" s="77"/>
      <c r="CI9" s="77"/>
      <c r="CJ9" s="67"/>
      <c r="CK9" s="71" t="s">
        <v>51</v>
      </c>
      <c r="CO9" s="76" t="s">
        <v>35</v>
      </c>
      <c r="CQ9" s="67"/>
      <c r="CR9" s="71" t="s">
        <v>51</v>
      </c>
      <c r="CV9" s="76"/>
      <c r="CW9" s="67"/>
      <c r="CX9" s="71" t="s">
        <v>51</v>
      </c>
      <c r="CY9" s="40"/>
      <c r="CZ9" s="40"/>
      <c r="DA9" s="40"/>
      <c r="DB9" s="78" t="s">
        <v>35</v>
      </c>
      <c r="DC9" s="40"/>
      <c r="DD9" s="40"/>
      <c r="DE9" s="71" t="s">
        <v>51</v>
      </c>
      <c r="DF9" s="40"/>
      <c r="DG9" s="40"/>
      <c r="DH9" s="40"/>
      <c r="DI9" s="76" t="s">
        <v>35</v>
      </c>
      <c r="DJ9" s="40"/>
      <c r="DK9" s="40"/>
      <c r="DL9" s="71" t="s">
        <v>51</v>
      </c>
      <c r="DQ9" s="67"/>
      <c r="DR9" s="71" t="s">
        <v>51</v>
      </c>
      <c r="DW9" s="67"/>
      <c r="DX9" s="71" t="s">
        <v>51</v>
      </c>
      <c r="EC9" s="67"/>
      <c r="ED9" s="71" t="s">
        <v>51</v>
      </c>
      <c r="EH9" s="76" t="s">
        <v>35</v>
      </c>
      <c r="EJ9" s="67"/>
      <c r="EK9" s="71" t="s">
        <v>51</v>
      </c>
      <c r="EO9" s="76" t="s">
        <v>35</v>
      </c>
      <c r="EQ9" s="67"/>
      <c r="ER9" s="71" t="s">
        <v>51</v>
      </c>
      <c r="EV9" s="76" t="s">
        <v>35</v>
      </c>
      <c r="EX9" s="67"/>
      <c r="EY9" s="71" t="s">
        <v>51</v>
      </c>
      <c r="FC9" s="76" t="s">
        <v>35</v>
      </c>
    </row>
    <row r="10" spans="1:160" ht="13.5" thickBot="1" x14ac:dyDescent="0.45">
      <c r="B10" s="79" t="s">
        <v>53</v>
      </c>
      <c r="C10" s="80" t="s">
        <v>54</v>
      </c>
      <c r="D10" s="80" t="s">
        <v>47</v>
      </c>
      <c r="F10" s="81" t="s">
        <v>53</v>
      </c>
      <c r="G10" s="81"/>
      <c r="H10" s="81" t="s">
        <v>27</v>
      </c>
      <c r="I10" s="80" t="s">
        <v>25</v>
      </c>
      <c r="J10" s="80" t="s">
        <v>36</v>
      </c>
      <c r="K10" s="80" t="s">
        <v>36</v>
      </c>
      <c r="L10" s="80" t="s">
        <v>36</v>
      </c>
      <c r="M10" s="80" t="s">
        <v>54</v>
      </c>
      <c r="O10" s="79"/>
      <c r="P10" s="80"/>
      <c r="Q10" s="79" t="s">
        <v>53</v>
      </c>
      <c r="R10" s="80" t="s">
        <v>25</v>
      </c>
      <c r="S10" s="80" t="s">
        <v>36</v>
      </c>
      <c r="T10" s="80" t="s">
        <v>36</v>
      </c>
      <c r="U10" s="80" t="s">
        <v>36</v>
      </c>
      <c r="V10" s="80" t="s">
        <v>38</v>
      </c>
      <c r="X10" s="79" t="s">
        <v>53</v>
      </c>
      <c r="Y10" s="80" t="s">
        <v>25</v>
      </c>
      <c r="Z10" s="80" t="s">
        <v>29</v>
      </c>
      <c r="AA10" s="80" t="s">
        <v>25</v>
      </c>
      <c r="AB10" s="80" t="s">
        <v>29</v>
      </c>
      <c r="AC10" s="80" t="s">
        <v>36</v>
      </c>
      <c r="AD10" s="80" t="s">
        <v>36</v>
      </c>
      <c r="AE10" s="80" t="s">
        <v>36</v>
      </c>
      <c r="AF10" s="80" t="s">
        <v>38</v>
      </c>
      <c r="AH10" s="79" t="s">
        <v>53</v>
      </c>
      <c r="AI10" s="80" t="s">
        <v>25</v>
      </c>
      <c r="AJ10" s="80" t="s">
        <v>29</v>
      </c>
      <c r="AK10" s="80" t="s">
        <v>36</v>
      </c>
      <c r="AL10" s="80" t="s">
        <v>36</v>
      </c>
      <c r="AM10" s="80" t="s">
        <v>36</v>
      </c>
      <c r="AN10" s="80" t="s">
        <v>38</v>
      </c>
      <c r="AP10" s="79" t="s">
        <v>53</v>
      </c>
      <c r="AQ10" s="80" t="s">
        <v>25</v>
      </c>
      <c r="AR10" s="80" t="s">
        <v>29</v>
      </c>
      <c r="AS10" s="80" t="s">
        <v>36</v>
      </c>
      <c r="AT10" s="80" t="s">
        <v>36</v>
      </c>
      <c r="AU10" s="80" t="s">
        <v>36</v>
      </c>
      <c r="AV10" s="80" t="s">
        <v>38</v>
      </c>
      <c r="AX10" s="79" t="s">
        <v>53</v>
      </c>
      <c r="AY10" s="80" t="s">
        <v>25</v>
      </c>
      <c r="AZ10" s="180" t="s">
        <v>29</v>
      </c>
      <c r="BA10" s="80" t="s">
        <v>36</v>
      </c>
      <c r="BB10" s="80" t="s">
        <v>36</v>
      </c>
      <c r="BC10" s="80" t="s">
        <v>38</v>
      </c>
      <c r="BE10" s="79" t="s">
        <v>53</v>
      </c>
      <c r="BF10" s="80" t="s">
        <v>25</v>
      </c>
      <c r="BG10" s="80" t="s">
        <v>29</v>
      </c>
      <c r="BH10" s="80" t="s">
        <v>36</v>
      </c>
      <c r="BI10" s="80" t="s">
        <v>36</v>
      </c>
      <c r="BJ10" s="80" t="s">
        <v>38</v>
      </c>
      <c r="BL10" s="79" t="s">
        <v>53</v>
      </c>
      <c r="BM10" s="80" t="s">
        <v>25</v>
      </c>
      <c r="BN10" s="80" t="s">
        <v>29</v>
      </c>
      <c r="BO10" s="80" t="s">
        <v>36</v>
      </c>
      <c r="BP10" s="80" t="s">
        <v>38</v>
      </c>
      <c r="BR10" s="79" t="s">
        <v>53</v>
      </c>
      <c r="BS10" s="80" t="s">
        <v>25</v>
      </c>
      <c r="BT10" s="80" t="s">
        <v>29</v>
      </c>
      <c r="BU10" s="80" t="s">
        <v>36</v>
      </c>
      <c r="BV10" s="80" t="s">
        <v>38</v>
      </c>
      <c r="BX10" s="79" t="s">
        <v>53</v>
      </c>
      <c r="BY10" s="80" t="s">
        <v>25</v>
      </c>
      <c r="BZ10" s="80" t="s">
        <v>29</v>
      </c>
      <c r="CA10" s="80" t="s">
        <v>36</v>
      </c>
      <c r="CB10" s="80" t="s">
        <v>36</v>
      </c>
      <c r="CC10" s="80" t="s">
        <v>38</v>
      </c>
      <c r="CD10" s="67"/>
      <c r="CE10" s="79" t="s">
        <v>53</v>
      </c>
      <c r="CF10" s="80" t="s">
        <v>25</v>
      </c>
      <c r="CG10" s="80" t="s">
        <v>29</v>
      </c>
      <c r="CH10" s="80" t="s">
        <v>36</v>
      </c>
      <c r="CI10" s="80" t="s">
        <v>38</v>
      </c>
      <c r="CJ10" s="67"/>
      <c r="CK10" s="79" t="s">
        <v>53</v>
      </c>
      <c r="CL10" s="80" t="s">
        <v>25</v>
      </c>
      <c r="CM10" s="80" t="s">
        <v>29</v>
      </c>
      <c r="CN10" s="80" t="s">
        <v>36</v>
      </c>
      <c r="CO10" s="80" t="s">
        <v>36</v>
      </c>
      <c r="CP10" s="80" t="s">
        <v>38</v>
      </c>
      <c r="CQ10" s="67"/>
      <c r="CR10" s="79" t="s">
        <v>53</v>
      </c>
      <c r="CS10" s="80" t="s">
        <v>25</v>
      </c>
      <c r="CT10" s="80" t="s">
        <v>29</v>
      </c>
      <c r="CU10" s="80" t="s">
        <v>36</v>
      </c>
      <c r="CV10" s="80" t="s">
        <v>38</v>
      </c>
      <c r="CW10" s="67"/>
      <c r="CX10" s="79" t="s">
        <v>53</v>
      </c>
      <c r="CY10" s="82" t="s">
        <v>25</v>
      </c>
      <c r="CZ10" s="82" t="s">
        <v>29</v>
      </c>
      <c r="DA10" s="82" t="s">
        <v>36</v>
      </c>
      <c r="DB10" s="82" t="s">
        <v>36</v>
      </c>
      <c r="DC10" s="82" t="s">
        <v>38</v>
      </c>
      <c r="DD10" s="78"/>
      <c r="DE10" s="79" t="s">
        <v>53</v>
      </c>
      <c r="DF10" s="82" t="s">
        <v>25</v>
      </c>
      <c r="DG10" s="82" t="s">
        <v>29</v>
      </c>
      <c r="DH10" s="82" t="s">
        <v>36</v>
      </c>
      <c r="DI10" s="80" t="s">
        <v>36</v>
      </c>
      <c r="DJ10" s="82" t="s">
        <v>38</v>
      </c>
      <c r="DK10" s="78"/>
      <c r="DL10" s="79" t="s">
        <v>53</v>
      </c>
      <c r="DM10" s="80" t="s">
        <v>25</v>
      </c>
      <c r="DN10" s="80" t="s">
        <v>29</v>
      </c>
      <c r="DO10" s="80" t="s">
        <v>36</v>
      </c>
      <c r="DP10" s="80" t="s">
        <v>38</v>
      </c>
      <c r="DQ10" s="67"/>
      <c r="DR10" s="79" t="s">
        <v>53</v>
      </c>
      <c r="DS10" s="80" t="s">
        <v>25</v>
      </c>
      <c r="DT10" s="80" t="s">
        <v>29</v>
      </c>
      <c r="DU10" s="80" t="s">
        <v>36</v>
      </c>
      <c r="DV10" s="80" t="s">
        <v>38</v>
      </c>
      <c r="DW10" s="67"/>
      <c r="DX10" s="79" t="s">
        <v>53</v>
      </c>
      <c r="DY10" s="80" t="s">
        <v>25</v>
      </c>
      <c r="DZ10" s="80" t="s">
        <v>29</v>
      </c>
      <c r="EA10" s="80" t="s">
        <v>36</v>
      </c>
      <c r="EB10" s="80" t="s">
        <v>38</v>
      </c>
      <c r="EC10" s="67"/>
      <c r="ED10" s="79" t="s">
        <v>53</v>
      </c>
      <c r="EE10" s="80" t="s">
        <v>25</v>
      </c>
      <c r="EF10" s="80" t="s">
        <v>29</v>
      </c>
      <c r="EG10" s="80" t="s">
        <v>36</v>
      </c>
      <c r="EH10" s="80" t="s">
        <v>36</v>
      </c>
      <c r="EI10" s="80" t="s">
        <v>38</v>
      </c>
      <c r="EJ10" s="67"/>
      <c r="EK10" s="79" t="s">
        <v>53</v>
      </c>
      <c r="EL10" s="80" t="s">
        <v>25</v>
      </c>
      <c r="EM10" s="80" t="s">
        <v>29</v>
      </c>
      <c r="EN10" s="80" t="s">
        <v>36</v>
      </c>
      <c r="EO10" s="80" t="s">
        <v>36</v>
      </c>
      <c r="EP10" s="80" t="s">
        <v>38</v>
      </c>
      <c r="EQ10" s="67"/>
      <c r="ER10" s="79" t="s">
        <v>53</v>
      </c>
      <c r="ES10" s="80" t="s">
        <v>25</v>
      </c>
      <c r="ET10" s="80" t="s">
        <v>29</v>
      </c>
      <c r="EU10" s="80" t="s">
        <v>36</v>
      </c>
      <c r="EV10" s="80" t="s">
        <v>36</v>
      </c>
      <c r="EW10" s="80" t="s">
        <v>38</v>
      </c>
      <c r="EX10" s="67"/>
      <c r="EY10" s="79" t="s">
        <v>53</v>
      </c>
      <c r="EZ10" s="80" t="s">
        <v>25</v>
      </c>
      <c r="FA10" s="80" t="s">
        <v>29</v>
      </c>
      <c r="FB10" s="80" t="s">
        <v>36</v>
      </c>
      <c r="FC10" s="80" t="s">
        <v>36</v>
      </c>
      <c r="FD10" s="80" t="s">
        <v>38</v>
      </c>
    </row>
    <row r="11" spans="1:160" x14ac:dyDescent="0.4">
      <c r="X11" s="71"/>
      <c r="Y11" s="76"/>
      <c r="Z11" s="76"/>
      <c r="AA11" s="76"/>
      <c r="AB11" s="76"/>
      <c r="AC11" s="76"/>
      <c r="AD11" s="76"/>
      <c r="AE11" s="76"/>
      <c r="AF11" s="76"/>
      <c r="AH11" s="71"/>
      <c r="AI11" s="76"/>
      <c r="AJ11" s="76"/>
      <c r="AK11" s="76"/>
      <c r="AL11" s="76"/>
      <c r="AM11" s="76"/>
      <c r="AN11" s="76"/>
      <c r="AP11" s="71"/>
      <c r="AQ11" s="76"/>
      <c r="AR11" s="76"/>
      <c r="AS11" s="76"/>
      <c r="AT11" s="76"/>
      <c r="AU11" s="76"/>
      <c r="AV11" s="76"/>
      <c r="AX11" s="71"/>
      <c r="AY11" s="76"/>
      <c r="AZ11" s="181"/>
      <c r="BA11" s="76"/>
      <c r="BB11" s="76"/>
      <c r="BC11" s="76"/>
      <c r="BE11" s="71"/>
      <c r="BF11" s="76"/>
      <c r="BG11" s="76"/>
      <c r="BH11" s="76"/>
      <c r="BI11" s="76"/>
      <c r="BJ11" s="76"/>
      <c r="BL11" s="71"/>
      <c r="BM11" s="76"/>
      <c r="BN11" s="76"/>
      <c r="BO11" s="76"/>
      <c r="BP11" s="76"/>
      <c r="BR11" s="71"/>
      <c r="BS11" s="76"/>
      <c r="BT11" s="76"/>
      <c r="BU11" s="76"/>
      <c r="BV11" s="76"/>
      <c r="BX11" s="71"/>
      <c r="BY11" s="76"/>
      <c r="BZ11" s="76"/>
      <c r="CA11" s="76"/>
      <c r="CB11" s="76"/>
      <c r="CC11" s="76"/>
      <c r="CD11" s="67"/>
      <c r="CE11" s="76"/>
      <c r="CF11" s="76"/>
      <c r="CG11" s="76"/>
      <c r="CH11" s="76"/>
      <c r="CI11" s="76"/>
      <c r="CJ11" s="67"/>
      <c r="CK11" s="83"/>
      <c r="CL11" s="76"/>
      <c r="CM11" s="76"/>
      <c r="CN11" s="76"/>
      <c r="CO11" s="76"/>
      <c r="CP11" s="76"/>
      <c r="CQ11" s="67"/>
      <c r="CR11" s="83"/>
      <c r="CS11" s="76"/>
      <c r="CT11" s="76"/>
      <c r="CU11" s="76"/>
      <c r="CV11" s="76"/>
      <c r="CW11" s="67"/>
      <c r="CX11" s="83"/>
      <c r="CY11" s="84"/>
      <c r="CZ11" s="76"/>
      <c r="DA11" s="84"/>
      <c r="DB11" s="84"/>
      <c r="DC11" s="84"/>
      <c r="DD11" s="84"/>
      <c r="DE11" s="83"/>
      <c r="DF11" s="84"/>
      <c r="DG11" s="76"/>
      <c r="DH11" s="84"/>
      <c r="DI11" s="84"/>
      <c r="DJ11" s="84"/>
      <c r="DK11" s="84"/>
      <c r="DL11" s="83"/>
      <c r="DQ11" s="67"/>
      <c r="DR11" s="83"/>
      <c r="DW11" s="67"/>
      <c r="DX11" s="83"/>
      <c r="EC11" s="67"/>
      <c r="ED11" s="83"/>
      <c r="EJ11" s="67"/>
      <c r="EK11" s="83"/>
      <c r="EQ11" s="67"/>
      <c r="ER11" s="83"/>
      <c r="EX11" s="67"/>
      <c r="EY11" s="83"/>
    </row>
    <row r="12" spans="1:160" x14ac:dyDescent="0.4">
      <c r="F12" s="85">
        <v>43830</v>
      </c>
      <c r="G12" s="85"/>
      <c r="H12" s="85">
        <v>43814</v>
      </c>
      <c r="I12" s="40"/>
      <c r="O12" s="85">
        <v>43830</v>
      </c>
      <c r="P12" s="85"/>
      <c r="Q12" s="85">
        <v>43814</v>
      </c>
      <c r="R12" s="40">
        <f t="shared" ref="R12:R43" si="0">SUM(Y12,AA12,AI12,AQ12,AY12,BF12,BM12,BS12,BY12,CF12,CL12,CS12,CY12,DF12,DM12,DS12,DY12,EE12,EL12,ES12,EZ12)</f>
        <v>1374430.75</v>
      </c>
      <c r="S12" s="40">
        <f t="shared" ref="S12:S43" si="1">SUM(AC12,AK12,AS12,BA12,BH12,BO12,BU12,CA12,CH12,CN12,CU12,DA12,DH12,DO12,DU12,EA12,EG12,EN12,EU12,FB12)</f>
        <v>58930863.75</v>
      </c>
      <c r="T12" s="40">
        <f t="shared" ref="T12:T43" si="2">SUM(AD12,AL12,AT12,BB12,BI12,CB12,CO12,DB12,DI12,EH12,EO12,EV12,FC12)</f>
        <v>2395569.25</v>
      </c>
      <c r="U12" s="40">
        <f t="shared" ref="U12:U43" si="3">SUM(AE12,AM12,AU12)</f>
        <v>0</v>
      </c>
      <c r="V12" s="40">
        <f>SUM(R12:U12)</f>
        <v>62700863.75</v>
      </c>
      <c r="X12" s="85">
        <v>43814</v>
      </c>
      <c r="Y12" s="40"/>
      <c r="Z12" s="101"/>
      <c r="AA12" s="40"/>
      <c r="AB12" s="101"/>
      <c r="AC12" s="40"/>
      <c r="AD12" s="40"/>
      <c r="AE12" s="40"/>
      <c r="AF12" s="40">
        <f>SUM(Y12,AA12,AC12,AD12,AE12)</f>
        <v>0</v>
      </c>
      <c r="AH12" s="85">
        <v>43814</v>
      </c>
      <c r="AI12" s="40"/>
      <c r="AJ12" s="101"/>
      <c r="AK12" s="40"/>
      <c r="AL12" s="40"/>
      <c r="AM12" s="40"/>
      <c r="AN12" s="40">
        <f t="shared" ref="AN12:AN43" si="4">SUM(AI12,AK12,AL12,AM12)</f>
        <v>0</v>
      </c>
      <c r="AP12" s="85">
        <v>43814</v>
      </c>
      <c r="AQ12" s="40">
        <v>0</v>
      </c>
      <c r="AR12" s="101"/>
      <c r="AS12" s="40">
        <v>4750125</v>
      </c>
      <c r="AT12" s="40">
        <v>0</v>
      </c>
      <c r="AU12" s="40"/>
      <c r="AV12" s="40">
        <f>SUM(AQ12,AS12,AT12,AU12)</f>
        <v>4750125</v>
      </c>
      <c r="AX12" s="85">
        <v>43814</v>
      </c>
      <c r="AY12" s="40">
        <v>0</v>
      </c>
      <c r="BA12" s="40">
        <v>1460250</v>
      </c>
      <c r="BB12" s="40">
        <v>0</v>
      </c>
      <c r="BC12" s="40">
        <f>SUM(AY12,BA12,BB12)</f>
        <v>1460250</v>
      </c>
      <c r="BE12" s="85">
        <v>43814</v>
      </c>
      <c r="BF12" s="40">
        <v>0</v>
      </c>
      <c r="BG12" s="40"/>
      <c r="BH12" s="40">
        <v>3425625</v>
      </c>
      <c r="BI12" s="40">
        <v>0</v>
      </c>
      <c r="BJ12" s="40">
        <f>SUM(BF12,BH12,BI12)</f>
        <v>3425625</v>
      </c>
      <c r="BL12" s="85">
        <v>43814</v>
      </c>
      <c r="BM12" s="40">
        <v>0</v>
      </c>
      <c r="BN12" s="40"/>
      <c r="BO12" s="40">
        <v>1655375</v>
      </c>
      <c r="BP12" s="40">
        <f>SUM(BM12,BO12)</f>
        <v>1655375</v>
      </c>
      <c r="BR12" s="85">
        <v>43814</v>
      </c>
      <c r="BS12" s="40">
        <v>0</v>
      </c>
      <c r="BT12" s="87">
        <v>0</v>
      </c>
      <c r="BU12" s="40">
        <f t="shared" ref="BU12:BU56" si="5">BS12*BT12/2+BU13</f>
        <v>2426875</v>
      </c>
      <c r="BV12" s="40">
        <f>SUM(BS12,BU12)</f>
        <v>2426875</v>
      </c>
      <c r="BX12" s="85">
        <v>43814</v>
      </c>
      <c r="BY12" s="40">
        <v>340000</v>
      </c>
      <c r="BZ12" s="87">
        <v>0.03</v>
      </c>
      <c r="CA12" s="40">
        <v>15526537.5</v>
      </c>
      <c r="CB12" s="40">
        <v>0</v>
      </c>
      <c r="CC12" s="40">
        <f t="shared" ref="CC12:CC72" si="6">SUM(BY12,CA12,CB12)</f>
        <v>15866537.5</v>
      </c>
      <c r="CD12" s="67"/>
      <c r="CE12" s="85">
        <v>43814</v>
      </c>
      <c r="CG12" s="87"/>
      <c r="CJ12" s="67"/>
      <c r="CK12" s="85">
        <v>43814</v>
      </c>
      <c r="CL12" s="40"/>
      <c r="CM12" s="87"/>
      <c r="CN12" s="40">
        <v>18269725</v>
      </c>
      <c r="CO12" s="40">
        <v>0</v>
      </c>
      <c r="CP12" s="40">
        <f>SUM(CL12,CN12,CO12)</f>
        <v>18269725</v>
      </c>
      <c r="CQ12" s="67"/>
      <c r="CR12" s="85">
        <v>43814</v>
      </c>
      <c r="CS12" s="40"/>
      <c r="CT12" s="87"/>
      <c r="CU12" s="40">
        <v>4176700</v>
      </c>
      <c r="CV12" s="40">
        <f>SUM(CS12,CU12)</f>
        <v>4176700</v>
      </c>
      <c r="CW12" s="67"/>
      <c r="CX12" s="85">
        <v>43814</v>
      </c>
      <c r="CY12" s="40"/>
      <c r="CZ12" s="87"/>
      <c r="DA12" s="40">
        <v>2537162.5</v>
      </c>
      <c r="DB12" s="40">
        <v>0</v>
      </c>
      <c r="DC12" s="40">
        <f>SUM(CY12,DA12,DB12)</f>
        <v>2537162.5</v>
      </c>
      <c r="DD12" s="40"/>
      <c r="DE12" s="85">
        <v>43814</v>
      </c>
      <c r="DF12" s="40"/>
      <c r="DG12" s="87"/>
      <c r="DH12" s="40">
        <f t="shared" ref="DH12:DH18" si="7">(DF12+DI12)*DG12/2+DH13</f>
        <v>2055888.75</v>
      </c>
      <c r="DI12" s="40"/>
      <c r="DJ12" s="40">
        <f t="shared" ref="DJ12:DJ72" si="8">SUM(DF12,DH12,DI12)</f>
        <v>2055888.75</v>
      </c>
      <c r="DK12" s="40"/>
      <c r="DL12" s="85">
        <v>43814</v>
      </c>
      <c r="DQ12" s="67"/>
      <c r="DR12" s="85">
        <v>43814</v>
      </c>
      <c r="DS12" s="40">
        <v>255000</v>
      </c>
      <c r="DT12" s="87">
        <v>5.5E-2</v>
      </c>
      <c r="DU12" s="40">
        <v>2239737.5</v>
      </c>
      <c r="DV12" s="40">
        <f>SUM(DS12,DU12)</f>
        <v>2494737.5</v>
      </c>
      <c r="DW12" s="67"/>
      <c r="DX12" s="85">
        <v>43814</v>
      </c>
      <c r="DY12" s="40">
        <v>0</v>
      </c>
      <c r="DZ12" s="87">
        <v>0</v>
      </c>
      <c r="EA12" s="40">
        <v>406862.5</v>
      </c>
      <c r="EB12" s="40">
        <f>SUM(DY12,EA12)</f>
        <v>406862.5</v>
      </c>
      <c r="EC12" s="67"/>
      <c r="ED12" s="85">
        <v>43814</v>
      </c>
      <c r="EE12" s="40">
        <v>779430.75</v>
      </c>
      <c r="EF12" s="87">
        <v>6.1499999999999999E-2</v>
      </c>
      <c r="EG12" s="40">
        <v>0</v>
      </c>
      <c r="EH12" s="40">
        <v>2395569.25</v>
      </c>
      <c r="EI12" s="40">
        <f>SUM(EE12,EG12,EH12)</f>
        <v>3175000</v>
      </c>
      <c r="EJ12" s="67"/>
      <c r="EK12" s="85">
        <v>43814</v>
      </c>
      <c r="EL12" s="40"/>
      <c r="EM12" s="87">
        <v>0</v>
      </c>
      <c r="EN12" s="40">
        <v>0</v>
      </c>
      <c r="EO12" s="40">
        <v>0</v>
      </c>
      <c r="EP12" s="40">
        <f>SUM(EL12,EN12,EO12)</f>
        <v>0</v>
      </c>
      <c r="EQ12" s="67"/>
      <c r="ER12" s="85">
        <v>43814</v>
      </c>
      <c r="ES12" s="40"/>
      <c r="ET12" s="87">
        <v>0</v>
      </c>
      <c r="EU12" s="40">
        <v>0</v>
      </c>
      <c r="EV12" s="40">
        <v>0</v>
      </c>
      <c r="EW12" s="40">
        <f>SUM(ES12,EU12,EV12)</f>
        <v>0</v>
      </c>
      <c r="EX12" s="67"/>
      <c r="EY12" s="85">
        <v>43814</v>
      </c>
      <c r="EZ12" s="40"/>
      <c r="FA12" s="87">
        <v>0</v>
      </c>
      <c r="FB12" s="40">
        <v>0</v>
      </c>
      <c r="FC12" s="40">
        <v>0</v>
      </c>
      <c r="FD12" s="40">
        <f>SUM(EZ12,FB12,FC12)</f>
        <v>0</v>
      </c>
    </row>
    <row r="13" spans="1:160" x14ac:dyDescent="0.4">
      <c r="A13" s="118">
        <v>43997</v>
      </c>
      <c r="B13" s="85">
        <v>44012</v>
      </c>
      <c r="C13" s="86">
        <f t="shared" ref="C13:C53" si="9">VLOOKUP(A13,TotalEPB_DS,13,FALSE)</f>
        <v>190646046.76999998</v>
      </c>
      <c r="D13" s="40">
        <f t="shared" ref="D13:D53" si="10">VLOOKUP(A13,SeriesTotalEPB_DS,6,FALSE)-C13</f>
        <v>0</v>
      </c>
      <c r="F13" s="85">
        <v>44012</v>
      </c>
      <c r="G13" s="85"/>
      <c r="H13" s="85">
        <v>43997</v>
      </c>
      <c r="I13" s="40">
        <f>SUM(Y12:Y13,AA12:AA13,AI12:AI13,AQ12:AQ13,AY12:AY13,BF12:BF13,BM12:BM13,BS12:BS13,BY12:BY13,CF12:CF13,CL12:CL13,CS12:CS13,CY12:CY13,DF12:DF13,DM12:DM13,DS12:DS13,DY12:DY13,EE12:EE13,EL12:EL13,ES12:ES13,EZ12:EZ13)</f>
        <v>15294563.199999999</v>
      </c>
      <c r="J13" s="40">
        <f>SUM(AC12:AC13,AK12:AK13,AS12:AS13,BA12:BA13,BH12:BH13,BO12:BO13,BU12:BU13,CA12:CA13,CH12:CH13,CN12:CN13,CU12:CU13,DA12:DA13,DH12:DH13,DO12:DO13,DU12:DU13,EA12:EA13,EG12:EG13,EN12:EN13,EU12:EU13,FB12:FB13)</f>
        <v>128091663.44</v>
      </c>
      <c r="K13" s="40">
        <f>SUM(AD12:AD13,AL12:AL13,AT12:AT13,BB12:BB13,BI12:BI13,CB12:CB13,CO12:CO13,DB12:DB13,DI12:DI13,EH12:EH13,EO12:EO13,EV12:EV13,FC12:FC13)</f>
        <v>56970436.799999997</v>
      </c>
      <c r="L13" s="40">
        <f>SUM(AE12:AE13,AM12:AM13,AU12:AU13)</f>
        <v>-9710616.6699999999</v>
      </c>
      <c r="M13" s="40">
        <f>SUM(I13:L13)</f>
        <v>190646046.77000001</v>
      </c>
      <c r="O13" s="85">
        <v>44012</v>
      </c>
      <c r="P13" s="85"/>
      <c r="Q13" s="85">
        <v>43997</v>
      </c>
      <c r="R13" s="40">
        <f t="shared" si="0"/>
        <v>13920132.449999999</v>
      </c>
      <c r="S13" s="40">
        <f t="shared" si="1"/>
        <v>69160799.689999998</v>
      </c>
      <c r="T13" s="40">
        <f t="shared" si="2"/>
        <v>54574867.549999997</v>
      </c>
      <c r="U13" s="40">
        <f t="shared" si="3"/>
        <v>-9710616.6699999999</v>
      </c>
      <c r="V13" s="40">
        <f>SUM(R13:U13)</f>
        <v>127945183.02</v>
      </c>
      <c r="X13" s="85">
        <v>43997</v>
      </c>
      <c r="Y13" s="40"/>
      <c r="Z13" s="101"/>
      <c r="AA13" s="40"/>
      <c r="AB13" s="101"/>
      <c r="AC13" s="40">
        <v>9710616.6699999999</v>
      </c>
      <c r="AD13" s="40"/>
      <c r="AE13" s="40">
        <v>-9710616.6699999999</v>
      </c>
      <c r="AF13" s="40">
        <f t="shared" ref="AF13:AF76" si="11">SUM(Y13,AA13,AC13,AD13,AE13)</f>
        <v>0</v>
      </c>
      <c r="AH13" s="85">
        <v>43997</v>
      </c>
      <c r="AI13" s="40"/>
      <c r="AJ13" s="101"/>
      <c r="AK13" s="40">
        <v>531431.77</v>
      </c>
      <c r="AL13" s="40"/>
      <c r="AM13" s="40"/>
      <c r="AN13" s="40">
        <f t="shared" si="4"/>
        <v>531431.77</v>
      </c>
      <c r="AP13" s="85">
        <v>43997</v>
      </c>
      <c r="AQ13" s="40">
        <v>0</v>
      </c>
      <c r="AR13" s="101"/>
      <c r="AS13" s="40">
        <v>4750125</v>
      </c>
      <c r="AT13" s="40">
        <v>0</v>
      </c>
      <c r="AU13" s="40"/>
      <c r="AV13" s="40">
        <f t="shared" ref="AV13:AV76" si="12">SUM(AQ13,AS13,AT13,AU13)</f>
        <v>4750125</v>
      </c>
      <c r="AX13" s="85">
        <v>43997</v>
      </c>
      <c r="AY13" s="40">
        <v>0</v>
      </c>
      <c r="BA13" s="40">
        <v>1460250</v>
      </c>
      <c r="BB13" s="40">
        <v>0</v>
      </c>
      <c r="BC13" s="40">
        <f t="shared" ref="BC13:BC76" si="13">SUM(AY13,BA13,BB13)</f>
        <v>1460250</v>
      </c>
      <c r="BE13" s="85">
        <v>43997</v>
      </c>
      <c r="BF13" s="40">
        <v>0</v>
      </c>
      <c r="BG13" s="40"/>
      <c r="BH13" s="40">
        <v>3425625</v>
      </c>
      <c r="BI13" s="40">
        <v>0</v>
      </c>
      <c r="BJ13" s="40">
        <f t="shared" ref="BJ13:BJ76" si="14">SUM(BF13,BH13,BI13)</f>
        <v>3425625</v>
      </c>
      <c r="BL13" s="85">
        <v>43997</v>
      </c>
      <c r="BM13" s="40">
        <v>0</v>
      </c>
      <c r="BN13" s="40"/>
      <c r="BO13" s="40">
        <v>1655375</v>
      </c>
      <c r="BP13" s="40">
        <f t="shared" ref="BP13:BP76" si="15">SUM(BM13,BO13)</f>
        <v>1655375</v>
      </c>
      <c r="BR13" s="85">
        <v>43997</v>
      </c>
      <c r="BS13" s="40">
        <v>0</v>
      </c>
      <c r="BT13" s="87">
        <v>0</v>
      </c>
      <c r="BU13" s="40">
        <f t="shared" si="5"/>
        <v>2426875</v>
      </c>
      <c r="BV13" s="40">
        <f t="shared" ref="BV13:BV76" si="16">SUM(BS13,BU13)</f>
        <v>2426875</v>
      </c>
      <c r="BX13" s="85">
        <v>43997</v>
      </c>
      <c r="BY13" s="40">
        <v>0</v>
      </c>
      <c r="BZ13" s="87">
        <v>0</v>
      </c>
      <c r="CA13" s="40">
        <v>15521437.5</v>
      </c>
      <c r="CB13" s="40">
        <v>0</v>
      </c>
      <c r="CC13" s="40">
        <f t="shared" si="6"/>
        <v>15521437.5</v>
      </c>
      <c r="CD13" s="67"/>
      <c r="CE13" s="85">
        <v>43997</v>
      </c>
      <c r="CG13" s="87"/>
      <c r="CJ13" s="67"/>
      <c r="CK13" s="85">
        <v>43997</v>
      </c>
      <c r="CL13" s="40"/>
      <c r="CM13" s="87"/>
      <c r="CN13" s="40">
        <v>18269725</v>
      </c>
      <c r="CO13" s="40">
        <v>0</v>
      </c>
      <c r="CP13" s="40">
        <f t="shared" ref="CP13:CP76" si="17">SUM(CL13,CN13,CO13)</f>
        <v>18269725</v>
      </c>
      <c r="CQ13" s="67"/>
      <c r="CR13" s="85">
        <v>43997</v>
      </c>
      <c r="CS13" s="40"/>
      <c r="CT13" s="87"/>
      <c r="CU13" s="40">
        <v>4176700</v>
      </c>
      <c r="CV13" s="40">
        <f t="shared" ref="CV13:CV76" si="18">SUM(CS13,CU13)</f>
        <v>4176700</v>
      </c>
      <c r="CW13" s="67"/>
      <c r="CX13" s="85">
        <v>43997</v>
      </c>
      <c r="CY13" s="40"/>
      <c r="CZ13" s="87"/>
      <c r="DA13" s="40">
        <v>2537162.5</v>
      </c>
      <c r="DB13" s="40">
        <v>0</v>
      </c>
      <c r="DC13" s="40">
        <f t="shared" ref="DC13:DC76" si="19">SUM(CY13,DA13,DB13)</f>
        <v>2537162.5</v>
      </c>
      <c r="DD13" s="40"/>
      <c r="DE13" s="85">
        <v>43997</v>
      </c>
      <c r="DF13" s="40"/>
      <c r="DG13" s="87"/>
      <c r="DH13" s="40">
        <f t="shared" si="7"/>
        <v>2055888.75</v>
      </c>
      <c r="DI13" s="40"/>
      <c r="DJ13" s="40">
        <f t="shared" si="8"/>
        <v>2055888.75</v>
      </c>
      <c r="DK13" s="40"/>
      <c r="DL13" s="85">
        <v>43997</v>
      </c>
      <c r="DQ13" s="67"/>
      <c r="DR13" s="85">
        <v>43997</v>
      </c>
      <c r="DS13" s="40">
        <v>290000</v>
      </c>
      <c r="DT13" s="87">
        <v>5.5E-2</v>
      </c>
      <c r="DU13" s="40">
        <v>2232725</v>
      </c>
      <c r="DV13" s="40">
        <f t="shared" ref="DV13:DV76" si="20">SUM(DS13,DU13)</f>
        <v>2522725</v>
      </c>
      <c r="DW13" s="67"/>
      <c r="DX13" s="85">
        <v>43997</v>
      </c>
      <c r="DY13" s="40">
        <v>2850000</v>
      </c>
      <c r="DZ13" s="87">
        <v>5.5E-2</v>
      </c>
      <c r="EA13" s="40">
        <v>406862.5</v>
      </c>
      <c r="EB13" s="40">
        <f t="shared" ref="EB13:EB76" si="21">SUM(DY13,EA13)</f>
        <v>3256862.5</v>
      </c>
      <c r="EC13" s="67"/>
      <c r="ED13" s="85">
        <v>43997</v>
      </c>
      <c r="EE13" s="40">
        <v>0</v>
      </c>
      <c r="EF13" s="87">
        <v>0</v>
      </c>
      <c r="EG13" s="40">
        <v>0</v>
      </c>
      <c r="EH13" s="40">
        <v>0</v>
      </c>
      <c r="EI13" s="40">
        <f t="shared" ref="EI13:EI76" si="22">SUM(EE13,EG13,EH13)</f>
        <v>0</v>
      </c>
      <c r="EJ13" s="67"/>
      <c r="EK13" s="85">
        <v>43997</v>
      </c>
      <c r="EL13" s="40">
        <v>535182.5</v>
      </c>
      <c r="EM13" s="87">
        <v>6.7000000000000004E-2</v>
      </c>
      <c r="EN13" s="40">
        <v>0</v>
      </c>
      <c r="EO13" s="40">
        <v>2429817.5</v>
      </c>
      <c r="EP13" s="40">
        <f t="shared" ref="EP13:EP76" si="23">SUM(EL13,EN13,EO13)</f>
        <v>2965000</v>
      </c>
      <c r="EQ13" s="67"/>
      <c r="ER13" s="85">
        <v>43997</v>
      </c>
      <c r="ES13" s="40">
        <v>1497247.5</v>
      </c>
      <c r="ET13" s="87">
        <v>6.7000000000000004E-2</v>
      </c>
      <c r="EU13" s="40">
        <v>0</v>
      </c>
      <c r="EV13" s="40">
        <v>6797752.5</v>
      </c>
      <c r="EW13" s="40">
        <f t="shared" ref="EW13:EW76" si="24">SUM(ES13,EU13,EV13)</f>
        <v>8295000</v>
      </c>
      <c r="EX13" s="67"/>
      <c r="EY13" s="85">
        <v>43997</v>
      </c>
      <c r="EZ13" s="40">
        <v>8747702.4499999993</v>
      </c>
      <c r="FA13" s="87">
        <v>6.7500000000000004E-2</v>
      </c>
      <c r="FB13" s="40">
        <v>0</v>
      </c>
      <c r="FC13" s="40">
        <v>45347297.549999997</v>
      </c>
      <c r="FD13" s="40">
        <f t="shared" ref="FD13:FD76" si="25">SUM(EZ13,FB13,FC13)</f>
        <v>54095000</v>
      </c>
    </row>
    <row r="14" spans="1:160" x14ac:dyDescent="0.4">
      <c r="A14" s="118">
        <f>EDATE(A13,12)</f>
        <v>44362</v>
      </c>
      <c r="B14" s="85">
        <v>44377</v>
      </c>
      <c r="C14" s="86">
        <f t="shared" si="9"/>
        <v>213873641.05000001</v>
      </c>
      <c r="D14" s="40">
        <f t="shared" si="10"/>
        <v>0</v>
      </c>
      <c r="E14" s="40"/>
      <c r="F14" s="85">
        <v>44196</v>
      </c>
      <c r="G14" s="85"/>
      <c r="H14" s="85">
        <v>44180</v>
      </c>
      <c r="I14" s="40"/>
      <c r="N14" s="40"/>
      <c r="O14" s="85">
        <v>44196</v>
      </c>
      <c r="P14" s="85"/>
      <c r="Q14" s="85">
        <v>44180</v>
      </c>
      <c r="R14" s="40">
        <f t="shared" si="0"/>
        <v>57141968.600000001</v>
      </c>
      <c r="S14" s="40">
        <f t="shared" si="1"/>
        <v>56248601.25</v>
      </c>
      <c r="T14" s="40">
        <f t="shared" si="2"/>
        <v>12833031.4</v>
      </c>
      <c r="U14" s="40">
        <f t="shared" si="3"/>
        <v>-14251261.449999999</v>
      </c>
      <c r="V14" s="40">
        <f t="shared" ref="V14:V77" si="26">SUM(R14:U14)</f>
        <v>111972339.8</v>
      </c>
      <c r="X14" s="85">
        <v>44180</v>
      </c>
      <c r="Y14" s="40"/>
      <c r="Z14" s="101"/>
      <c r="AA14" s="40"/>
      <c r="AB14" s="101"/>
      <c r="AC14" s="40">
        <f t="shared" ref="AC14:AC72" si="27">(Y14*Z14/2)+(AA14*AB14/2)+AC15</f>
        <v>19862625</v>
      </c>
      <c r="AD14" s="40"/>
      <c r="AE14" s="40">
        <v>-14251261.449999999</v>
      </c>
      <c r="AF14" s="40">
        <f t="shared" si="11"/>
        <v>5611363.5500000007</v>
      </c>
      <c r="AH14" s="85">
        <v>44180</v>
      </c>
      <c r="AI14" s="40"/>
      <c r="AJ14" s="101"/>
      <c r="AK14" s="40"/>
      <c r="AL14" s="40"/>
      <c r="AM14" s="40"/>
      <c r="AN14" s="40">
        <f t="shared" si="4"/>
        <v>0</v>
      </c>
      <c r="AP14" s="85">
        <v>44180</v>
      </c>
      <c r="AQ14" s="40">
        <v>0</v>
      </c>
      <c r="AR14" s="101"/>
      <c r="AS14" s="40">
        <v>4750125</v>
      </c>
      <c r="AT14" s="40">
        <v>0</v>
      </c>
      <c r="AU14" s="40"/>
      <c r="AV14" s="40">
        <f t="shared" si="12"/>
        <v>4750125</v>
      </c>
      <c r="AX14" s="85">
        <v>44180</v>
      </c>
      <c r="AY14" s="40">
        <v>0</v>
      </c>
      <c r="BA14" s="40">
        <v>1460250</v>
      </c>
      <c r="BB14" s="40">
        <v>0</v>
      </c>
      <c r="BC14" s="40">
        <f t="shared" si="13"/>
        <v>1460250</v>
      </c>
      <c r="BE14" s="85">
        <v>44180</v>
      </c>
      <c r="BF14" s="40">
        <v>0</v>
      </c>
      <c r="BG14" s="40"/>
      <c r="BH14" s="40">
        <v>3425625</v>
      </c>
      <c r="BI14" s="40">
        <v>0</v>
      </c>
      <c r="BJ14" s="40">
        <f t="shared" si="14"/>
        <v>3425625</v>
      </c>
      <c r="BL14" s="85">
        <v>44180</v>
      </c>
      <c r="BM14" s="40">
        <v>0</v>
      </c>
      <c r="BN14" s="40"/>
      <c r="BO14" s="40">
        <v>1655375</v>
      </c>
      <c r="BP14" s="40">
        <f t="shared" si="15"/>
        <v>1655375</v>
      </c>
      <c r="BR14" s="85">
        <v>44180</v>
      </c>
      <c r="BS14" s="40">
        <v>0</v>
      </c>
      <c r="BT14" s="87">
        <v>0</v>
      </c>
      <c r="BU14" s="40">
        <f t="shared" si="5"/>
        <v>2426875</v>
      </c>
      <c r="BV14" s="40">
        <f t="shared" si="16"/>
        <v>2426875</v>
      </c>
      <c r="BX14" s="85">
        <v>44180</v>
      </c>
      <c r="BY14" s="40">
        <v>51545000</v>
      </c>
      <c r="BZ14" s="87">
        <v>0.05</v>
      </c>
      <c r="CA14" s="40">
        <v>15521437.5</v>
      </c>
      <c r="CB14" s="40">
        <v>0</v>
      </c>
      <c r="CC14" s="40">
        <f t="shared" si="6"/>
        <v>67066437.5</v>
      </c>
      <c r="CD14" s="67"/>
      <c r="CE14" s="85">
        <v>44180</v>
      </c>
      <c r="CG14" s="87"/>
      <c r="CJ14" s="67"/>
      <c r="CK14" s="85">
        <v>44180</v>
      </c>
      <c r="CL14" s="40"/>
      <c r="CM14" s="87"/>
      <c r="CN14" s="40"/>
      <c r="CO14" s="40">
        <v>0</v>
      </c>
      <c r="CP14" s="40">
        <f t="shared" si="17"/>
        <v>0</v>
      </c>
      <c r="CQ14" s="67"/>
      <c r="CR14" s="85">
        <v>44180</v>
      </c>
      <c r="CS14" s="40"/>
      <c r="CT14" s="87"/>
      <c r="CU14" s="40"/>
      <c r="CV14" s="40">
        <f t="shared" si="18"/>
        <v>0</v>
      </c>
      <c r="CW14" s="67"/>
      <c r="CX14" s="85">
        <v>44180</v>
      </c>
      <c r="CY14" s="40"/>
      <c r="CZ14" s="87"/>
      <c r="DA14" s="40">
        <v>2537162.5</v>
      </c>
      <c r="DB14" s="40">
        <v>0</v>
      </c>
      <c r="DC14" s="40">
        <f t="shared" si="19"/>
        <v>2537162.5</v>
      </c>
      <c r="DD14" s="40"/>
      <c r="DE14" s="85">
        <v>44180</v>
      </c>
      <c r="DF14" s="40"/>
      <c r="DG14" s="87"/>
      <c r="DH14" s="40">
        <f t="shared" si="7"/>
        <v>2055888.75</v>
      </c>
      <c r="DI14" s="40"/>
      <c r="DJ14" s="40">
        <f t="shared" si="8"/>
        <v>2055888.75</v>
      </c>
      <c r="DK14" s="40"/>
      <c r="DL14" s="85">
        <v>44180</v>
      </c>
      <c r="DQ14" s="67"/>
      <c r="DR14" s="85">
        <v>44180</v>
      </c>
      <c r="DS14" s="40">
        <v>1770000</v>
      </c>
      <c r="DT14" s="87">
        <v>5.5E-2</v>
      </c>
      <c r="DU14" s="40">
        <v>2224750</v>
      </c>
      <c r="DV14" s="40">
        <f t="shared" si="20"/>
        <v>3994750</v>
      </c>
      <c r="DW14" s="67"/>
      <c r="DX14" s="85">
        <v>44180</v>
      </c>
      <c r="DY14" s="40">
        <v>0</v>
      </c>
      <c r="DZ14" s="87">
        <v>0</v>
      </c>
      <c r="EA14" s="40">
        <v>328487.5</v>
      </c>
      <c r="EB14" s="40">
        <f t="shared" si="21"/>
        <v>328487.5</v>
      </c>
      <c r="EC14" s="67"/>
      <c r="ED14" s="85">
        <v>44180</v>
      </c>
      <c r="EE14" s="40">
        <v>3826968.6</v>
      </c>
      <c r="EF14" s="87">
        <v>6.1749999999999999E-2</v>
      </c>
      <c r="EG14" s="40">
        <v>0</v>
      </c>
      <c r="EH14" s="40">
        <v>12833031.4</v>
      </c>
      <c r="EI14" s="40">
        <f t="shared" si="22"/>
        <v>16660000</v>
      </c>
      <c r="EJ14" s="67"/>
      <c r="EK14" s="85">
        <v>44180</v>
      </c>
      <c r="EL14" s="40"/>
      <c r="EM14" s="87">
        <v>0</v>
      </c>
      <c r="EN14" s="40">
        <v>0</v>
      </c>
      <c r="EO14" s="40">
        <v>0</v>
      </c>
      <c r="EP14" s="40">
        <f t="shared" si="23"/>
        <v>0</v>
      </c>
      <c r="EQ14" s="67"/>
      <c r="ER14" s="85">
        <v>44180</v>
      </c>
      <c r="ES14" s="40"/>
      <c r="ET14" s="87">
        <v>0</v>
      </c>
      <c r="EU14" s="40">
        <v>0</v>
      </c>
      <c r="EV14" s="40">
        <v>0</v>
      </c>
      <c r="EW14" s="40">
        <f t="shared" si="24"/>
        <v>0</v>
      </c>
      <c r="EX14" s="67"/>
      <c r="EY14" s="85">
        <v>44180</v>
      </c>
      <c r="EZ14" s="40"/>
      <c r="FA14" s="87">
        <v>0</v>
      </c>
      <c r="FB14" s="40">
        <v>0</v>
      </c>
      <c r="FC14" s="40">
        <v>0</v>
      </c>
      <c r="FD14" s="40">
        <f t="shared" si="25"/>
        <v>0</v>
      </c>
    </row>
    <row r="15" spans="1:160" x14ac:dyDescent="0.4">
      <c r="A15" s="118">
        <f t="shared" ref="A15:A53" si="28">EDATE(A14,12)</f>
        <v>44727</v>
      </c>
      <c r="B15" s="85">
        <v>44742</v>
      </c>
      <c r="C15" s="86">
        <f t="shared" si="9"/>
        <v>253456777.5</v>
      </c>
      <c r="D15" s="40">
        <f t="shared" si="10"/>
        <v>0</v>
      </c>
      <c r="E15" s="40"/>
      <c r="F15" s="85">
        <v>44377</v>
      </c>
      <c r="G15" s="85"/>
      <c r="H15" s="85">
        <v>44362</v>
      </c>
      <c r="I15" s="40">
        <f>SUM(Y14:Y15,AA14:AA15,AI14:AI15,AQ14:AQ15,AY14:AY15,BF14:BF15,BM14:BM15,BS14:BS15,BY14:BY15,CF14:CF15,CL14:CL15,CS14:CS15,CY14:CY15,DF14:DF15,DM14:DM15,DS14:DS15,DY14:DY15,EE14:EE15,EL14:EL15,ES14:ES15,EZ14:EZ15)</f>
        <v>66025761</v>
      </c>
      <c r="J15" s="40">
        <f>SUM(AC14:AC15,AK14:AK15,AS14:AS15,BA14:BA15,BH14:BH15,BO14:BO15,BU14:BU15,CA14:CA15,CH14:CH15,CN14:CN15,CU14:CU15,DA14:DA15,DH14:DH15,DO14:DO15,DU14:DU15,EA14:EA15,EG14:EG15,EN14:EN15,EU14:EU15,FB14:FB15)</f>
        <v>111159902.5</v>
      </c>
      <c r="K15" s="40">
        <f>SUM(AD14:AD15,AL14:AL15,AT14:AT15,BB14:BB15,BI14:BI15,CB14:CB15,CO14:CO15,DB14:DB15,DI14:DI15,EH14:EH15,EO14:EO15,EV14:EV15,FC14:FC15)</f>
        <v>50939239</v>
      </c>
      <c r="L15" s="40">
        <f>SUM(AE14:AE15,AM14:AM15,AU14:AU15)</f>
        <v>-14251261.449999999</v>
      </c>
      <c r="M15" s="40">
        <f>SUM(I15:L15)</f>
        <v>213873641.05000001</v>
      </c>
      <c r="N15" s="40"/>
      <c r="O15" s="85">
        <v>44377</v>
      </c>
      <c r="P15" s="85"/>
      <c r="Q15" s="85">
        <v>44362</v>
      </c>
      <c r="R15" s="40">
        <f t="shared" si="0"/>
        <v>8883792.4000000004</v>
      </c>
      <c r="S15" s="40">
        <f t="shared" si="1"/>
        <v>54911301.25</v>
      </c>
      <c r="T15" s="40">
        <f t="shared" si="2"/>
        <v>38106207.600000001</v>
      </c>
      <c r="U15" s="40">
        <f t="shared" si="3"/>
        <v>0</v>
      </c>
      <c r="V15" s="40">
        <f t="shared" si="26"/>
        <v>101901301.25</v>
      </c>
      <c r="X15" s="85">
        <v>44362</v>
      </c>
      <c r="Y15" s="40"/>
      <c r="Z15" s="101"/>
      <c r="AA15" s="40"/>
      <c r="AB15" s="101"/>
      <c r="AC15" s="40">
        <f t="shared" si="27"/>
        <v>19862625</v>
      </c>
      <c r="AD15" s="40"/>
      <c r="AE15" s="40"/>
      <c r="AF15" s="40">
        <f t="shared" si="11"/>
        <v>19862625</v>
      </c>
      <c r="AH15" s="85">
        <v>44362</v>
      </c>
      <c r="AI15" s="40"/>
      <c r="AJ15" s="101"/>
      <c r="AK15" s="40"/>
      <c r="AL15" s="40"/>
      <c r="AM15" s="40"/>
      <c r="AN15" s="40">
        <f t="shared" si="4"/>
        <v>0</v>
      </c>
      <c r="AP15" s="85">
        <v>44362</v>
      </c>
      <c r="AQ15" s="40">
        <v>0</v>
      </c>
      <c r="AR15" s="101"/>
      <c r="AS15" s="40">
        <v>4750125</v>
      </c>
      <c r="AT15" s="40">
        <v>0</v>
      </c>
      <c r="AU15" s="40"/>
      <c r="AV15" s="40">
        <f t="shared" si="12"/>
        <v>4750125</v>
      </c>
      <c r="AX15" s="85">
        <v>44362</v>
      </c>
      <c r="AY15" s="40">
        <v>0</v>
      </c>
      <c r="BA15" s="40">
        <v>1460250</v>
      </c>
      <c r="BB15" s="40">
        <v>0</v>
      </c>
      <c r="BC15" s="40">
        <f t="shared" si="13"/>
        <v>1460250</v>
      </c>
      <c r="BE15" s="85">
        <v>44362</v>
      </c>
      <c r="BF15" s="40">
        <v>0</v>
      </c>
      <c r="BG15" s="40"/>
      <c r="BH15" s="40">
        <v>3425625</v>
      </c>
      <c r="BI15" s="40">
        <v>0</v>
      </c>
      <c r="BJ15" s="40">
        <f t="shared" si="14"/>
        <v>3425625</v>
      </c>
      <c r="BL15" s="85">
        <v>44362</v>
      </c>
      <c r="BM15" s="40">
        <v>0</v>
      </c>
      <c r="BN15" s="40"/>
      <c r="BO15" s="40">
        <v>1655375</v>
      </c>
      <c r="BP15" s="40">
        <f t="shared" si="15"/>
        <v>1655375</v>
      </c>
      <c r="BR15" s="85">
        <v>44362</v>
      </c>
      <c r="BS15" s="40">
        <v>0</v>
      </c>
      <c r="BT15" s="87">
        <v>0</v>
      </c>
      <c r="BU15" s="40">
        <f t="shared" si="5"/>
        <v>2426875</v>
      </c>
      <c r="BV15" s="40">
        <f t="shared" si="16"/>
        <v>2426875</v>
      </c>
      <c r="BX15" s="85">
        <v>44362</v>
      </c>
      <c r="BY15" s="40">
        <v>0</v>
      </c>
      <c r="BZ15" s="87">
        <v>0</v>
      </c>
      <c r="CA15" s="40">
        <v>14232812.5</v>
      </c>
      <c r="CB15" s="40">
        <v>0</v>
      </c>
      <c r="CC15" s="40">
        <f t="shared" si="6"/>
        <v>14232812.5</v>
      </c>
      <c r="CD15" s="67"/>
      <c r="CE15" s="85">
        <v>44362</v>
      </c>
      <c r="CG15" s="87"/>
      <c r="CJ15" s="67"/>
      <c r="CK15" s="85">
        <v>44362</v>
      </c>
      <c r="CL15" s="40"/>
      <c r="CM15" s="87"/>
      <c r="CN15" s="40"/>
      <c r="CO15" s="40">
        <v>0</v>
      </c>
      <c r="CP15" s="40">
        <f t="shared" si="17"/>
        <v>0</v>
      </c>
      <c r="CQ15" s="67"/>
      <c r="CR15" s="85">
        <v>44362</v>
      </c>
      <c r="CS15" s="40"/>
      <c r="CT15" s="87"/>
      <c r="CU15" s="40"/>
      <c r="CV15" s="40">
        <f t="shared" si="18"/>
        <v>0</v>
      </c>
      <c r="CW15" s="67"/>
      <c r="CX15" s="85">
        <v>44362</v>
      </c>
      <c r="CY15" s="40"/>
      <c r="CZ15" s="87"/>
      <c r="DA15" s="40">
        <v>2537162.5</v>
      </c>
      <c r="DB15" s="40">
        <v>0</v>
      </c>
      <c r="DC15" s="40">
        <f t="shared" si="19"/>
        <v>2537162.5</v>
      </c>
      <c r="DD15" s="40"/>
      <c r="DE15" s="85">
        <v>44362</v>
      </c>
      <c r="DF15" s="40"/>
      <c r="DG15" s="87"/>
      <c r="DH15" s="40">
        <f t="shared" si="7"/>
        <v>2055888.75</v>
      </c>
      <c r="DI15" s="40"/>
      <c r="DJ15" s="40">
        <f t="shared" si="8"/>
        <v>2055888.75</v>
      </c>
      <c r="DK15" s="40"/>
      <c r="DL15" s="85">
        <v>44362</v>
      </c>
      <c r="DQ15" s="67"/>
      <c r="DR15" s="85">
        <v>44362</v>
      </c>
      <c r="DS15" s="40">
        <v>925000</v>
      </c>
      <c r="DT15" s="87">
        <v>5.5E-2</v>
      </c>
      <c r="DU15" s="40">
        <v>2176075</v>
      </c>
      <c r="DV15" s="40">
        <f t="shared" si="20"/>
        <v>3101075</v>
      </c>
      <c r="DW15" s="67"/>
      <c r="DX15" s="85">
        <v>44362</v>
      </c>
      <c r="DY15" s="40">
        <v>930000</v>
      </c>
      <c r="DZ15" s="87">
        <v>5.5E-2</v>
      </c>
      <c r="EA15" s="40">
        <v>328487.5</v>
      </c>
      <c r="EB15" s="40">
        <f t="shared" si="21"/>
        <v>1258487.5</v>
      </c>
      <c r="EC15" s="67"/>
      <c r="ED15" s="85">
        <v>44362</v>
      </c>
      <c r="EE15" s="40">
        <v>0</v>
      </c>
      <c r="EF15" s="87">
        <v>0</v>
      </c>
      <c r="EG15" s="40">
        <v>0</v>
      </c>
      <c r="EH15" s="40">
        <v>0</v>
      </c>
      <c r="EI15" s="40">
        <f t="shared" si="22"/>
        <v>0</v>
      </c>
      <c r="EJ15" s="67"/>
      <c r="EK15" s="85">
        <v>44362</v>
      </c>
      <c r="EL15" s="40">
        <v>501055.35</v>
      </c>
      <c r="EM15" s="87">
        <v>6.7000000000000004E-2</v>
      </c>
      <c r="EN15" s="40">
        <v>0</v>
      </c>
      <c r="EO15" s="40">
        <v>2463944.65</v>
      </c>
      <c r="EP15" s="40">
        <f t="shared" si="23"/>
        <v>2965000</v>
      </c>
      <c r="EQ15" s="67"/>
      <c r="ER15" s="85">
        <v>44362</v>
      </c>
      <c r="ES15" s="40">
        <v>1401772.05</v>
      </c>
      <c r="ET15" s="87">
        <v>6.7000000000000004E-2</v>
      </c>
      <c r="EU15" s="40">
        <v>0</v>
      </c>
      <c r="EV15" s="40">
        <v>6893227.9500000002</v>
      </c>
      <c r="EW15" s="40">
        <f t="shared" si="24"/>
        <v>8295000</v>
      </c>
      <c r="EX15" s="67"/>
      <c r="EY15" s="85">
        <v>44362</v>
      </c>
      <c r="EZ15" s="40">
        <v>5125965</v>
      </c>
      <c r="FA15" s="87">
        <v>6.7500000000000004E-2</v>
      </c>
      <c r="FB15" s="40">
        <v>0</v>
      </c>
      <c r="FC15" s="40">
        <v>28749035</v>
      </c>
      <c r="FD15" s="40">
        <f t="shared" si="25"/>
        <v>33875000</v>
      </c>
    </row>
    <row r="16" spans="1:160" x14ac:dyDescent="0.4">
      <c r="A16" s="118">
        <f t="shared" si="28"/>
        <v>45092</v>
      </c>
      <c r="B16" s="85">
        <v>45107</v>
      </c>
      <c r="C16" s="86">
        <f t="shared" si="9"/>
        <v>244076435</v>
      </c>
      <c r="D16" s="40">
        <f t="shared" si="10"/>
        <v>0</v>
      </c>
      <c r="E16" s="40"/>
      <c r="F16" s="85">
        <v>44561</v>
      </c>
      <c r="G16" s="85"/>
      <c r="H16" s="85">
        <v>44545</v>
      </c>
      <c r="I16" s="40"/>
      <c r="N16" s="40"/>
      <c r="O16" s="85">
        <v>44561</v>
      </c>
      <c r="P16" s="85"/>
      <c r="Q16" s="85">
        <v>44545</v>
      </c>
      <c r="R16" s="40">
        <f t="shared" si="0"/>
        <v>12837848</v>
      </c>
      <c r="S16" s="40">
        <f t="shared" si="1"/>
        <v>54860288.75</v>
      </c>
      <c r="T16" s="40">
        <f t="shared" si="2"/>
        <v>39427152</v>
      </c>
      <c r="U16" s="40">
        <f t="shared" si="3"/>
        <v>0</v>
      </c>
      <c r="V16" s="40">
        <f t="shared" si="26"/>
        <v>107125288.75</v>
      </c>
      <c r="X16" s="85">
        <v>44545</v>
      </c>
      <c r="Y16" s="40"/>
      <c r="Z16" s="101"/>
      <c r="AA16" s="40"/>
      <c r="AB16" s="101"/>
      <c r="AC16" s="40">
        <f t="shared" si="27"/>
        <v>19862625</v>
      </c>
      <c r="AD16" s="40"/>
      <c r="AE16" s="40"/>
      <c r="AF16" s="40">
        <f t="shared" si="11"/>
        <v>19862625</v>
      </c>
      <c r="AH16" s="85">
        <v>44545</v>
      </c>
      <c r="AI16" s="40"/>
      <c r="AJ16" s="101"/>
      <c r="AK16" s="40"/>
      <c r="AL16" s="40"/>
      <c r="AM16" s="40"/>
      <c r="AN16" s="40">
        <f t="shared" si="4"/>
        <v>0</v>
      </c>
      <c r="AP16" s="85">
        <v>44545</v>
      </c>
      <c r="AQ16" s="40">
        <v>0</v>
      </c>
      <c r="AR16" s="101"/>
      <c r="AS16" s="40">
        <v>4750125</v>
      </c>
      <c r="AT16" s="40">
        <v>0</v>
      </c>
      <c r="AU16" s="40"/>
      <c r="AV16" s="40">
        <f t="shared" si="12"/>
        <v>4750125</v>
      </c>
      <c r="AX16" s="85">
        <v>44545</v>
      </c>
      <c r="AY16" s="40">
        <v>0</v>
      </c>
      <c r="BA16" s="40">
        <v>1460250</v>
      </c>
      <c r="BB16" s="40">
        <v>0</v>
      </c>
      <c r="BC16" s="40">
        <f t="shared" si="13"/>
        <v>1460250</v>
      </c>
      <c r="BE16" s="85">
        <v>44545</v>
      </c>
      <c r="BF16" s="40">
        <v>0</v>
      </c>
      <c r="BG16" s="40"/>
      <c r="BH16" s="40">
        <v>3425625</v>
      </c>
      <c r="BI16" s="40">
        <v>0</v>
      </c>
      <c r="BJ16" s="40">
        <f t="shared" si="14"/>
        <v>3425625</v>
      </c>
      <c r="BL16" s="85">
        <v>44545</v>
      </c>
      <c r="BM16" s="40">
        <v>0</v>
      </c>
      <c r="BN16" s="40"/>
      <c r="BO16" s="40">
        <v>1655375</v>
      </c>
      <c r="BP16" s="40">
        <f t="shared" si="15"/>
        <v>1655375</v>
      </c>
      <c r="BR16" s="85">
        <v>44545</v>
      </c>
      <c r="BS16" s="40">
        <v>0</v>
      </c>
      <c r="BT16" s="87">
        <v>0</v>
      </c>
      <c r="BU16" s="40">
        <f t="shared" si="5"/>
        <v>2426875</v>
      </c>
      <c r="BV16" s="40">
        <f t="shared" si="16"/>
        <v>2426875</v>
      </c>
      <c r="BX16" s="85">
        <v>44545</v>
      </c>
      <c r="BY16" s="40">
        <v>95000</v>
      </c>
      <c r="BZ16" s="87">
        <v>0.05</v>
      </c>
      <c r="CA16" s="40">
        <v>14232812.5</v>
      </c>
      <c r="CB16" s="40">
        <v>0</v>
      </c>
      <c r="CC16" s="40">
        <f t="shared" si="6"/>
        <v>14327812.5</v>
      </c>
      <c r="CD16" s="67"/>
      <c r="CE16" s="85">
        <v>44545</v>
      </c>
      <c r="CG16" s="87"/>
      <c r="CJ16" s="67"/>
      <c r="CK16" s="85">
        <v>44545</v>
      </c>
      <c r="CL16" s="40"/>
      <c r="CM16" s="87"/>
      <c r="CN16" s="40"/>
      <c r="CO16" s="40">
        <v>0</v>
      </c>
      <c r="CP16" s="40">
        <f t="shared" si="17"/>
        <v>0</v>
      </c>
      <c r="CQ16" s="67"/>
      <c r="CR16" s="85">
        <v>44545</v>
      </c>
      <c r="CS16" s="40"/>
      <c r="CT16" s="87"/>
      <c r="CU16" s="40"/>
      <c r="CV16" s="40">
        <f t="shared" si="18"/>
        <v>0</v>
      </c>
      <c r="CW16" s="67"/>
      <c r="CX16" s="85">
        <v>44545</v>
      </c>
      <c r="CY16" s="40"/>
      <c r="CZ16" s="87"/>
      <c r="DA16" s="40">
        <v>2537162.5</v>
      </c>
      <c r="DB16" s="40">
        <v>0</v>
      </c>
      <c r="DC16" s="40">
        <f t="shared" si="19"/>
        <v>2537162.5</v>
      </c>
      <c r="DD16" s="40"/>
      <c r="DE16" s="85">
        <v>44545</v>
      </c>
      <c r="DF16" s="40"/>
      <c r="DG16" s="87"/>
      <c r="DH16" s="40">
        <f t="shared" si="7"/>
        <v>2055888.75</v>
      </c>
      <c r="DI16" s="40"/>
      <c r="DJ16" s="40">
        <f t="shared" si="8"/>
        <v>2055888.75</v>
      </c>
      <c r="DK16" s="40"/>
      <c r="DL16" s="85">
        <v>44545</v>
      </c>
      <c r="DQ16" s="67"/>
      <c r="DR16" s="85">
        <v>44545</v>
      </c>
      <c r="DS16" s="40">
        <v>425000</v>
      </c>
      <c r="DT16" s="87">
        <v>5.5E-2</v>
      </c>
      <c r="DU16" s="40">
        <v>2150637.5</v>
      </c>
      <c r="DV16" s="40">
        <f t="shared" si="20"/>
        <v>2575637.5</v>
      </c>
      <c r="DW16" s="67"/>
      <c r="DX16" s="85">
        <v>44545</v>
      </c>
      <c r="DY16" s="40">
        <v>1445000</v>
      </c>
      <c r="DZ16" s="87">
        <v>5.5E-2</v>
      </c>
      <c r="EA16" s="40">
        <v>302912.5</v>
      </c>
      <c r="EB16" s="40">
        <f t="shared" si="21"/>
        <v>1747912.5</v>
      </c>
      <c r="EC16" s="67"/>
      <c r="ED16" s="85">
        <v>44545</v>
      </c>
      <c r="EE16" s="40">
        <v>10872848</v>
      </c>
      <c r="EF16" s="87">
        <v>6.1749999999999999E-2</v>
      </c>
      <c r="EG16" s="40">
        <v>0</v>
      </c>
      <c r="EH16" s="40">
        <v>39427152</v>
      </c>
      <c r="EI16" s="40">
        <f t="shared" si="22"/>
        <v>50300000</v>
      </c>
      <c r="EJ16" s="67"/>
      <c r="EK16" s="85">
        <v>44545</v>
      </c>
      <c r="EL16" s="40"/>
      <c r="EM16" s="87">
        <v>0</v>
      </c>
      <c r="EN16" s="40">
        <v>0</v>
      </c>
      <c r="EO16" s="40">
        <v>0</v>
      </c>
      <c r="EP16" s="40">
        <f t="shared" si="23"/>
        <v>0</v>
      </c>
      <c r="EQ16" s="67"/>
      <c r="ER16" s="85">
        <v>44545</v>
      </c>
      <c r="ES16" s="40"/>
      <c r="ET16" s="87">
        <v>0</v>
      </c>
      <c r="EU16" s="40">
        <v>0</v>
      </c>
      <c r="EV16" s="40">
        <v>0</v>
      </c>
      <c r="EW16" s="40">
        <f t="shared" si="24"/>
        <v>0</v>
      </c>
      <c r="EX16" s="67"/>
      <c r="EY16" s="85">
        <v>44545</v>
      </c>
      <c r="FD16" s="40">
        <f t="shared" si="25"/>
        <v>0</v>
      </c>
    </row>
    <row r="17" spans="1:160" x14ac:dyDescent="0.4">
      <c r="A17" s="118">
        <f t="shared" si="28"/>
        <v>45458</v>
      </c>
      <c r="B17" s="85">
        <v>45473</v>
      </c>
      <c r="C17" s="86">
        <f t="shared" si="9"/>
        <v>269709087.5</v>
      </c>
      <c r="D17" s="40">
        <f t="shared" si="10"/>
        <v>0</v>
      </c>
      <c r="F17" s="85">
        <v>44742</v>
      </c>
      <c r="G17" s="85"/>
      <c r="H17" s="85">
        <v>44727</v>
      </c>
      <c r="I17" s="40">
        <f>SUM(Y16:Y17,AA16:AA17,AI16:AI17,AQ16:AQ17,AY16:AY17,BF16:BF17,BM16:BM17,BS16:BS17,BY16:BY17,CF16:CF17,CL16:CL17,CS16:CS17,CY16:CY17,DF16:DF17,DM16:DM17,DS16:DS17,DY16:DY17,EE16:EE17,EL16:EL17,ES16:ES17,EZ16:EZ17)</f>
        <v>47719996.700000003</v>
      </c>
      <c r="J17" s="40">
        <f>SUM(AC16:AC17,AK16:AK17,AS16:AS17,BA16:BA17,BH16:BH17,BO16:BO17,BU16:BU17,CA16:CA17,CH16:CH17,CN16:CN17,CU16:CU17,DA16:DA17,DH16:DH17,DO16:DO17,DU16:DU17,EA16:EA17,EG16:EG17,EN16:EN17,EU16:EU17,FB16:FB17)</f>
        <v>109666777.5</v>
      </c>
      <c r="K17" s="40">
        <f>SUM(AD16:AD17,AL16:AL17,AT16:AT17,BB16:BB17,BI16:BI17,CB16:CB17,CO16:CO17,DB16:DB17,DI16:DI17,EH16:EH17,EO16:EO17,EV16:EV17,FC16:FC17)</f>
        <v>96070003.300000012</v>
      </c>
      <c r="L17" s="40">
        <f>SUM(AE16:AE17,AM16:AM17,AU16:AU17)</f>
        <v>0</v>
      </c>
      <c r="M17" s="40">
        <f>SUM(I17:L17)</f>
        <v>253456777.5</v>
      </c>
      <c r="O17" s="85">
        <v>44742</v>
      </c>
      <c r="P17" s="85"/>
      <c r="Q17" s="85">
        <v>44727</v>
      </c>
      <c r="R17" s="40">
        <f t="shared" si="0"/>
        <v>34882148.700000003</v>
      </c>
      <c r="S17" s="40">
        <f t="shared" si="1"/>
        <v>54806488.75</v>
      </c>
      <c r="T17" s="40">
        <f t="shared" si="2"/>
        <v>56642851.299999997</v>
      </c>
      <c r="U17" s="40">
        <f t="shared" si="3"/>
        <v>0</v>
      </c>
      <c r="V17" s="40">
        <f t="shared" si="26"/>
        <v>146331488.75</v>
      </c>
      <c r="X17" s="85">
        <v>44727</v>
      </c>
      <c r="Y17" s="40"/>
      <c r="Z17" s="101"/>
      <c r="AA17" s="40"/>
      <c r="AB17" s="101"/>
      <c r="AC17" s="40">
        <f t="shared" si="27"/>
        <v>19862625</v>
      </c>
      <c r="AD17" s="40"/>
      <c r="AE17" s="40"/>
      <c r="AF17" s="40">
        <f t="shared" si="11"/>
        <v>19862625</v>
      </c>
      <c r="AH17" s="85">
        <v>44727</v>
      </c>
      <c r="AI17" s="40"/>
      <c r="AJ17" s="101"/>
      <c r="AK17" s="40"/>
      <c r="AL17" s="40"/>
      <c r="AM17" s="40"/>
      <c r="AN17" s="40">
        <f t="shared" si="4"/>
        <v>0</v>
      </c>
      <c r="AP17" s="85">
        <v>44727</v>
      </c>
      <c r="AQ17" s="40">
        <v>0</v>
      </c>
      <c r="AR17" s="101"/>
      <c r="AS17" s="40">
        <v>4750125</v>
      </c>
      <c r="AT17" s="40">
        <v>0</v>
      </c>
      <c r="AU17" s="40"/>
      <c r="AV17" s="40">
        <f t="shared" si="12"/>
        <v>4750125</v>
      </c>
      <c r="AX17" s="85">
        <v>44727</v>
      </c>
      <c r="AY17" s="40">
        <v>0</v>
      </c>
      <c r="BA17" s="40">
        <v>1460250</v>
      </c>
      <c r="BB17" s="40">
        <v>0</v>
      </c>
      <c r="BC17" s="40">
        <f t="shared" si="13"/>
        <v>1460250</v>
      </c>
      <c r="BE17" s="85">
        <v>44727</v>
      </c>
      <c r="BF17" s="40">
        <v>0</v>
      </c>
      <c r="BG17" s="40"/>
      <c r="BH17" s="40">
        <v>3425625</v>
      </c>
      <c r="BI17" s="40">
        <v>0</v>
      </c>
      <c r="BJ17" s="40">
        <f t="shared" si="14"/>
        <v>3425625</v>
      </c>
      <c r="BL17" s="85">
        <v>44727</v>
      </c>
      <c r="BM17" s="40">
        <v>0</v>
      </c>
      <c r="BN17" s="40"/>
      <c r="BO17" s="40">
        <v>1655375</v>
      </c>
      <c r="BP17" s="40">
        <f t="shared" si="15"/>
        <v>1655375</v>
      </c>
      <c r="BR17" s="85">
        <v>44727</v>
      </c>
      <c r="BS17" s="40">
        <v>0</v>
      </c>
      <c r="BT17" s="87">
        <v>0</v>
      </c>
      <c r="BU17" s="40">
        <f t="shared" si="5"/>
        <v>2426875</v>
      </c>
      <c r="BV17" s="40">
        <f t="shared" si="16"/>
        <v>2426875</v>
      </c>
      <c r="BX17" s="85">
        <v>44727</v>
      </c>
      <c r="BY17" s="40">
        <v>0</v>
      </c>
      <c r="BZ17" s="87">
        <v>0</v>
      </c>
      <c r="CA17" s="40">
        <v>14230437.5</v>
      </c>
      <c r="CB17" s="40">
        <v>0</v>
      </c>
      <c r="CC17" s="40">
        <f t="shared" si="6"/>
        <v>14230437.5</v>
      </c>
      <c r="CD17" s="67"/>
      <c r="CE17" s="85">
        <v>44727</v>
      </c>
      <c r="CF17" s="88"/>
      <c r="CG17" s="89"/>
      <c r="CH17" s="90"/>
      <c r="CJ17" s="67"/>
      <c r="CK17" s="85">
        <v>44727</v>
      </c>
      <c r="CL17" s="40"/>
      <c r="CM17" s="87"/>
      <c r="CN17" s="40"/>
      <c r="CO17" s="40">
        <v>0</v>
      </c>
      <c r="CP17" s="40">
        <f t="shared" si="17"/>
        <v>0</v>
      </c>
      <c r="CQ17" s="67"/>
      <c r="CR17" s="85">
        <v>44727</v>
      </c>
      <c r="CS17" s="40"/>
      <c r="CT17" s="87"/>
      <c r="CU17" s="40"/>
      <c r="CV17" s="40">
        <f t="shared" si="18"/>
        <v>0</v>
      </c>
      <c r="CW17" s="67"/>
      <c r="CX17" s="85">
        <v>44727</v>
      </c>
      <c r="CY17" s="40"/>
      <c r="CZ17" s="87"/>
      <c r="DA17" s="40">
        <v>2537162.5</v>
      </c>
      <c r="DB17" s="40">
        <v>0</v>
      </c>
      <c r="DC17" s="40">
        <f t="shared" si="19"/>
        <v>2537162.5</v>
      </c>
      <c r="DD17" s="40"/>
      <c r="DE17" s="85">
        <v>44727</v>
      </c>
      <c r="DF17" s="40">
        <v>27926659.050000001</v>
      </c>
      <c r="DG17" s="87">
        <v>5.6500000000000002E-2</v>
      </c>
      <c r="DH17" s="40">
        <f t="shared" si="7"/>
        <v>2055888.75</v>
      </c>
      <c r="DI17" s="40">
        <v>36318340.950000003</v>
      </c>
      <c r="DJ17" s="40">
        <f t="shared" si="8"/>
        <v>66300888.75</v>
      </c>
      <c r="DK17" s="40"/>
      <c r="DL17" s="85">
        <v>44727</v>
      </c>
      <c r="DQ17" s="67"/>
      <c r="DR17" s="85">
        <v>44727</v>
      </c>
      <c r="DS17" s="40">
        <v>445000</v>
      </c>
      <c r="DT17" s="87">
        <v>5.5E-2</v>
      </c>
      <c r="DU17" s="40">
        <v>2138950</v>
      </c>
      <c r="DV17" s="40">
        <f t="shared" si="20"/>
        <v>2583950</v>
      </c>
      <c r="DW17" s="67"/>
      <c r="DX17" s="85">
        <v>44727</v>
      </c>
      <c r="DY17" s="40">
        <v>1510000</v>
      </c>
      <c r="DZ17" s="87">
        <v>5.5E-2</v>
      </c>
      <c r="EA17" s="40">
        <v>263175</v>
      </c>
      <c r="EB17" s="40">
        <f t="shared" si="21"/>
        <v>1773175</v>
      </c>
      <c r="EC17" s="67"/>
      <c r="ED17" s="85">
        <v>44727</v>
      </c>
      <c r="EE17" s="40">
        <v>4048065.45</v>
      </c>
      <c r="EF17" s="87">
        <v>6.1749999999999999E-2</v>
      </c>
      <c r="EG17" s="40">
        <v>0</v>
      </c>
      <c r="EH17" s="40">
        <v>15256934.550000001</v>
      </c>
      <c r="EI17" s="40">
        <f t="shared" si="22"/>
        <v>19305000</v>
      </c>
      <c r="EJ17" s="67"/>
      <c r="EK17" s="85">
        <v>44727</v>
      </c>
      <c r="EL17" s="40">
        <v>250762.85</v>
      </c>
      <c r="EM17" s="87">
        <v>6.7000000000000004E-2</v>
      </c>
      <c r="EN17" s="40">
        <v>0</v>
      </c>
      <c r="EO17" s="40">
        <v>1334237.1499999999</v>
      </c>
      <c r="EP17" s="40">
        <f t="shared" si="23"/>
        <v>1585000</v>
      </c>
      <c r="EQ17" s="67"/>
      <c r="ER17" s="85">
        <v>44727</v>
      </c>
      <c r="ES17" s="40">
        <v>701661.35</v>
      </c>
      <c r="ET17" s="87">
        <v>6.7000000000000004E-2</v>
      </c>
      <c r="EU17" s="40">
        <v>0</v>
      </c>
      <c r="EV17" s="40">
        <v>3733338.65</v>
      </c>
      <c r="EW17" s="40">
        <f t="shared" si="24"/>
        <v>4435000</v>
      </c>
      <c r="EX17" s="67"/>
      <c r="EY17" s="85">
        <v>44727</v>
      </c>
      <c r="FD17" s="40">
        <f t="shared" si="25"/>
        <v>0</v>
      </c>
    </row>
    <row r="18" spans="1:160" x14ac:dyDescent="0.4">
      <c r="A18" s="118">
        <f t="shared" si="28"/>
        <v>45823</v>
      </c>
      <c r="B18" s="85">
        <v>45838</v>
      </c>
      <c r="C18" s="86">
        <f t="shared" si="9"/>
        <v>269702165</v>
      </c>
      <c r="D18" s="40">
        <f t="shared" si="10"/>
        <v>0</v>
      </c>
      <c r="F18" s="85">
        <v>44926</v>
      </c>
      <c r="G18" s="85"/>
      <c r="H18" s="85">
        <v>44910</v>
      </c>
      <c r="I18" s="40"/>
      <c r="O18" s="85">
        <v>44926</v>
      </c>
      <c r="P18" s="85"/>
      <c r="Q18" s="85">
        <v>44910</v>
      </c>
      <c r="R18" s="40">
        <f t="shared" si="0"/>
        <v>49201020</v>
      </c>
      <c r="S18" s="40">
        <f t="shared" si="1"/>
        <v>52937805</v>
      </c>
      <c r="T18" s="40">
        <f t="shared" si="2"/>
        <v>40068980</v>
      </c>
      <c r="U18" s="40">
        <f t="shared" si="3"/>
        <v>0</v>
      </c>
      <c r="V18" s="40">
        <f t="shared" si="26"/>
        <v>142207805</v>
      </c>
      <c r="X18" s="85">
        <v>44910</v>
      </c>
      <c r="Y18" s="40"/>
      <c r="Z18" s="101"/>
      <c r="AA18" s="40"/>
      <c r="AB18" s="101"/>
      <c r="AC18" s="40">
        <f t="shared" si="27"/>
        <v>19862625</v>
      </c>
      <c r="AD18" s="40"/>
      <c r="AE18" s="40"/>
      <c r="AF18" s="40">
        <f t="shared" si="11"/>
        <v>19862625</v>
      </c>
      <c r="AH18" s="85">
        <v>44910</v>
      </c>
      <c r="AI18" s="40"/>
      <c r="AJ18" s="101"/>
      <c r="AK18" s="40"/>
      <c r="AL18" s="40"/>
      <c r="AM18" s="40"/>
      <c r="AN18" s="40">
        <f t="shared" si="4"/>
        <v>0</v>
      </c>
      <c r="AP18" s="85">
        <v>44910</v>
      </c>
      <c r="AQ18" s="40">
        <v>0</v>
      </c>
      <c r="AR18" s="101"/>
      <c r="AS18" s="40">
        <v>4750125</v>
      </c>
      <c r="AT18" s="40">
        <v>0</v>
      </c>
      <c r="AU18" s="40"/>
      <c r="AV18" s="40">
        <f t="shared" si="12"/>
        <v>4750125</v>
      </c>
      <c r="AX18" s="85">
        <v>44910</v>
      </c>
      <c r="AY18" s="40">
        <v>0</v>
      </c>
      <c r="BA18" s="40">
        <v>1460250</v>
      </c>
      <c r="BB18" s="40">
        <v>0</v>
      </c>
      <c r="BC18" s="40">
        <f t="shared" si="13"/>
        <v>1460250</v>
      </c>
      <c r="BE18" s="85">
        <v>44910</v>
      </c>
      <c r="BF18" s="40">
        <v>0</v>
      </c>
      <c r="BG18" s="40"/>
      <c r="BH18" s="40">
        <v>3425625</v>
      </c>
      <c r="BI18" s="40">
        <v>0</v>
      </c>
      <c r="BJ18" s="40">
        <f t="shared" si="14"/>
        <v>3425625</v>
      </c>
      <c r="BL18" s="85">
        <v>44910</v>
      </c>
      <c r="BM18" s="40">
        <v>0</v>
      </c>
      <c r="BN18" s="40"/>
      <c r="BO18" s="40">
        <v>1655375</v>
      </c>
      <c r="BP18" s="40">
        <f t="shared" si="15"/>
        <v>1655375</v>
      </c>
      <c r="BR18" s="85">
        <v>44910</v>
      </c>
      <c r="BS18" s="40">
        <v>0</v>
      </c>
      <c r="BT18" s="87">
        <v>0</v>
      </c>
      <c r="BU18" s="40">
        <f t="shared" si="5"/>
        <v>2426875</v>
      </c>
      <c r="BV18" s="40">
        <f t="shared" si="16"/>
        <v>2426875</v>
      </c>
      <c r="BX18" s="85">
        <v>44910</v>
      </c>
      <c r="BY18" s="40">
        <v>37000000</v>
      </c>
      <c r="BZ18" s="87">
        <v>0.05</v>
      </c>
      <c r="CA18" s="40">
        <v>14230437.5</v>
      </c>
      <c r="CB18" s="40">
        <v>0</v>
      </c>
      <c r="CC18" s="40">
        <f t="shared" si="6"/>
        <v>51230437.5</v>
      </c>
      <c r="CD18" s="67"/>
      <c r="CE18" s="85">
        <v>44910</v>
      </c>
      <c r="CF18" s="88"/>
      <c r="CG18" s="89"/>
      <c r="CH18" s="90"/>
      <c r="CJ18" s="67"/>
      <c r="CK18" s="85">
        <v>44910</v>
      </c>
      <c r="CL18" s="40"/>
      <c r="CM18" s="87"/>
      <c r="CN18" s="40"/>
      <c r="CO18" s="40">
        <v>0</v>
      </c>
      <c r="CP18" s="40">
        <f t="shared" si="17"/>
        <v>0</v>
      </c>
      <c r="CQ18" s="67"/>
      <c r="CR18" s="85">
        <v>44910</v>
      </c>
      <c r="CS18" s="40"/>
      <c r="CT18" s="87"/>
      <c r="CU18" s="40"/>
      <c r="CV18" s="40">
        <f t="shared" si="18"/>
        <v>0</v>
      </c>
      <c r="CW18" s="67"/>
      <c r="CX18" s="85">
        <v>44910</v>
      </c>
      <c r="CY18" s="40"/>
      <c r="CZ18" s="87"/>
      <c r="DA18" s="40">
        <v>2537162.5</v>
      </c>
      <c r="DB18" s="40">
        <v>0</v>
      </c>
      <c r="DC18" s="40">
        <f t="shared" si="19"/>
        <v>2537162.5</v>
      </c>
      <c r="DD18" s="40"/>
      <c r="DE18" s="85">
        <v>44910</v>
      </c>
      <c r="DF18" s="40"/>
      <c r="DG18" s="87"/>
      <c r="DH18" s="40">
        <f t="shared" si="7"/>
        <v>240967.5</v>
      </c>
      <c r="DI18" s="40"/>
      <c r="DJ18" s="40">
        <f t="shared" si="8"/>
        <v>240967.5</v>
      </c>
      <c r="DK18" s="40"/>
      <c r="DL18" s="85">
        <v>44910</v>
      </c>
      <c r="DQ18" s="67"/>
      <c r="DR18" s="85">
        <v>44910</v>
      </c>
      <c r="DS18" s="40">
        <v>445000</v>
      </c>
      <c r="DT18" s="87">
        <v>5.5E-2</v>
      </c>
      <c r="DU18" s="40">
        <v>2126712.5</v>
      </c>
      <c r="DV18" s="40">
        <f t="shared" si="20"/>
        <v>2571712.5</v>
      </c>
      <c r="DW18" s="67"/>
      <c r="DX18" s="85">
        <v>44910</v>
      </c>
      <c r="DY18" s="40">
        <v>1525000</v>
      </c>
      <c r="DZ18" s="87">
        <v>5.5E-2</v>
      </c>
      <c r="EA18" s="40">
        <v>221650</v>
      </c>
      <c r="EB18" s="40">
        <f t="shared" si="21"/>
        <v>1746650</v>
      </c>
      <c r="EC18" s="67"/>
      <c r="ED18" s="85">
        <v>44910</v>
      </c>
      <c r="EE18" s="40">
        <v>10231020</v>
      </c>
      <c r="EF18" s="87">
        <v>6.1749999999999999E-2</v>
      </c>
      <c r="EG18" s="40">
        <v>0</v>
      </c>
      <c r="EH18" s="40">
        <v>40068980</v>
      </c>
      <c r="EI18" s="40">
        <f t="shared" si="22"/>
        <v>50300000</v>
      </c>
      <c r="EJ18" s="67"/>
      <c r="EK18" s="85">
        <v>44910</v>
      </c>
      <c r="EL18" s="40"/>
      <c r="EM18" s="87">
        <v>0</v>
      </c>
      <c r="EN18" s="40">
        <v>0</v>
      </c>
      <c r="EO18" s="40">
        <v>0</v>
      </c>
      <c r="EP18" s="40">
        <f t="shared" si="23"/>
        <v>0</v>
      </c>
      <c r="EQ18" s="67"/>
      <c r="ER18" s="85">
        <v>44910</v>
      </c>
      <c r="EW18" s="40">
        <f t="shared" si="24"/>
        <v>0</v>
      </c>
      <c r="EX18" s="67"/>
      <c r="EY18" s="85">
        <v>44910</v>
      </c>
      <c r="FD18" s="40">
        <f t="shared" si="25"/>
        <v>0</v>
      </c>
    </row>
    <row r="19" spans="1:160" x14ac:dyDescent="0.4">
      <c r="A19" s="118">
        <f t="shared" si="28"/>
        <v>46188</v>
      </c>
      <c r="B19" s="85">
        <v>46203</v>
      </c>
      <c r="C19" s="86">
        <f t="shared" si="9"/>
        <v>270838587.5</v>
      </c>
      <c r="D19" s="40">
        <f t="shared" si="10"/>
        <v>0</v>
      </c>
      <c r="F19" s="85">
        <v>45107</v>
      </c>
      <c r="G19" s="85"/>
      <c r="H19" s="85">
        <v>45092</v>
      </c>
      <c r="I19" s="40">
        <f>SUM(Y18:Y19,AA18:AA19,AI18:AI19,AQ18:AQ19,AY18:AY19,BF18:BF19,BM18:BM19,BS18:BS19,BY18:BY19,CF18:CF19,CL18:CL19,CS18:CS19,CY18:CY19,DF18:DF19,DM18:DM19,DS18:DS19,DY18:DY19,EE18:EE19,EL18:EL19,ES18:ES19,EZ18:EZ19)</f>
        <v>77434013.100000009</v>
      </c>
      <c r="J19" s="40">
        <f>SUM(AC18:AC19,AK18:AK19,AS18:AS19,BA18:BA19,BH18:BH19,BO18:BO19,BU18:BU19,CA18:CA19,CH18:CH19,CN18:CN19,CU18:CU19,DA18:DA19,DH18:DH19,DO18:DO19,DU18:DU19,EA18:EA19,EG18:EG19,EN18:EN19,EU18:EU19,FB18:FB19)</f>
        <v>104896435</v>
      </c>
      <c r="K19" s="40">
        <f>SUM(AD18:AD19,AL18:AL19,AT18:AT19,BB18:BB19,BI18:BI19,CB18:CB19,CO18:CO19,DB18:DB19,DI18:DI19,EH18:EH19,EO18:EO19,EV18:EV19,FC18:FC19)</f>
        <v>61745986.899999991</v>
      </c>
      <c r="L19" s="40">
        <f>SUM(AE18:AE19,AM18:AM19,AU18:AU19)</f>
        <v>0</v>
      </c>
      <c r="M19" s="40">
        <f>SUM(I19:L19)</f>
        <v>244076435</v>
      </c>
      <c r="O19" s="85">
        <v>45107</v>
      </c>
      <c r="P19" s="85"/>
      <c r="Q19" s="85">
        <v>45092</v>
      </c>
      <c r="R19" s="40">
        <f t="shared" si="0"/>
        <v>28232993.099999998</v>
      </c>
      <c r="S19" s="40">
        <f t="shared" si="1"/>
        <v>51958630</v>
      </c>
      <c r="T19" s="40">
        <f t="shared" si="2"/>
        <v>21677006.900000002</v>
      </c>
      <c r="U19" s="40">
        <f t="shared" si="3"/>
        <v>0</v>
      </c>
      <c r="V19" s="40">
        <f t="shared" si="26"/>
        <v>101868630</v>
      </c>
      <c r="X19" s="85">
        <v>45092</v>
      </c>
      <c r="Y19" s="40"/>
      <c r="Z19" s="101"/>
      <c r="AA19" s="40"/>
      <c r="AB19" s="101"/>
      <c r="AC19" s="40">
        <f t="shared" si="27"/>
        <v>19862625</v>
      </c>
      <c r="AD19" s="40"/>
      <c r="AE19" s="40"/>
      <c r="AF19" s="40">
        <f t="shared" si="11"/>
        <v>19862625</v>
      </c>
      <c r="AH19" s="85">
        <v>45092</v>
      </c>
      <c r="AI19" s="40"/>
      <c r="AJ19" s="101"/>
      <c r="AK19" s="40"/>
      <c r="AL19" s="40"/>
      <c r="AM19" s="40"/>
      <c r="AN19" s="40">
        <f t="shared" si="4"/>
        <v>0</v>
      </c>
      <c r="AP19" s="85">
        <v>45092</v>
      </c>
      <c r="AQ19" s="40">
        <v>0</v>
      </c>
      <c r="AR19" s="101"/>
      <c r="AS19" s="40">
        <v>4750125</v>
      </c>
      <c r="AT19" s="40">
        <v>0</v>
      </c>
      <c r="AU19" s="40"/>
      <c r="AV19" s="40">
        <f t="shared" si="12"/>
        <v>4750125</v>
      </c>
      <c r="AX19" s="85">
        <v>45092</v>
      </c>
      <c r="AY19" s="40">
        <v>0</v>
      </c>
      <c r="BA19" s="40">
        <v>1460250</v>
      </c>
      <c r="BB19" s="40">
        <v>0</v>
      </c>
      <c r="BC19" s="40">
        <f t="shared" si="13"/>
        <v>1460250</v>
      </c>
      <c r="BE19" s="85">
        <v>45092</v>
      </c>
      <c r="BF19" s="40">
        <v>0</v>
      </c>
      <c r="BG19" s="40"/>
      <c r="BH19" s="40">
        <v>3425625</v>
      </c>
      <c r="BI19" s="40">
        <v>0</v>
      </c>
      <c r="BJ19" s="40">
        <f t="shared" si="14"/>
        <v>3425625</v>
      </c>
      <c r="BL19" s="85">
        <v>45092</v>
      </c>
      <c r="BM19" s="40">
        <v>0</v>
      </c>
      <c r="BN19" s="40"/>
      <c r="BO19" s="40">
        <v>1655375</v>
      </c>
      <c r="BP19" s="40">
        <f t="shared" si="15"/>
        <v>1655375</v>
      </c>
      <c r="BR19" s="85">
        <v>45092</v>
      </c>
      <c r="BS19" s="40">
        <v>0</v>
      </c>
      <c r="BT19" s="87">
        <v>0</v>
      </c>
      <c r="BU19" s="40">
        <f t="shared" si="5"/>
        <v>2426875</v>
      </c>
      <c r="BV19" s="40">
        <f t="shared" si="16"/>
        <v>2426875</v>
      </c>
      <c r="BX19" s="85">
        <v>45092</v>
      </c>
      <c r="BY19" s="40">
        <v>16790000</v>
      </c>
      <c r="BZ19" s="87">
        <v>0.05</v>
      </c>
      <c r="CA19" s="40">
        <v>13305437.5</v>
      </c>
      <c r="CB19" s="40">
        <v>0</v>
      </c>
      <c r="CC19" s="40">
        <f t="shared" si="6"/>
        <v>30095437.5</v>
      </c>
      <c r="CD19" s="67"/>
      <c r="CE19" s="85">
        <v>45092</v>
      </c>
      <c r="CF19" s="88"/>
      <c r="CG19" s="89"/>
      <c r="CH19" s="91"/>
      <c r="CJ19" s="67"/>
      <c r="CK19" s="85">
        <v>45092</v>
      </c>
      <c r="CL19" s="40"/>
      <c r="CM19" s="87"/>
      <c r="CN19" s="40"/>
      <c r="CO19" s="40">
        <v>0</v>
      </c>
      <c r="CP19" s="40">
        <f t="shared" si="17"/>
        <v>0</v>
      </c>
      <c r="CQ19" s="67"/>
      <c r="CR19" s="85">
        <v>45092</v>
      </c>
      <c r="CS19" s="40"/>
      <c r="CT19" s="87"/>
      <c r="CU19" s="40"/>
      <c r="CV19" s="40">
        <f t="shared" si="18"/>
        <v>0</v>
      </c>
      <c r="CW19" s="67"/>
      <c r="CX19" s="85">
        <v>45092</v>
      </c>
      <c r="CY19" s="40"/>
      <c r="CZ19" s="87"/>
      <c r="DA19" s="40">
        <v>2537162.5</v>
      </c>
      <c r="DB19" s="40">
        <v>0</v>
      </c>
      <c r="DC19" s="40">
        <f t="shared" si="19"/>
        <v>2537162.5</v>
      </c>
      <c r="DD19" s="40"/>
      <c r="DE19" s="85">
        <v>45092</v>
      </c>
      <c r="DF19" s="40">
        <v>3648670.6999999997</v>
      </c>
      <c r="DG19" s="87">
        <v>5.7000000000000002E-2</v>
      </c>
      <c r="DH19" s="40">
        <f>(DF19+DI19)*DG19/2+DH20</f>
        <v>240967.5</v>
      </c>
      <c r="DI19" s="40">
        <v>4806329.3000000007</v>
      </c>
      <c r="DJ19" s="40">
        <f t="shared" si="8"/>
        <v>8695967.5</v>
      </c>
      <c r="DK19" s="40"/>
      <c r="DL19" s="85">
        <v>45092</v>
      </c>
      <c r="DQ19" s="67"/>
      <c r="DR19" s="85">
        <v>45092</v>
      </c>
      <c r="DS19" s="40">
        <v>860000</v>
      </c>
      <c r="DT19" s="87">
        <v>5.5E-2</v>
      </c>
      <c r="DU19" s="40">
        <v>2114475</v>
      </c>
      <c r="DV19" s="40">
        <f t="shared" si="20"/>
        <v>2974475</v>
      </c>
      <c r="DW19" s="67"/>
      <c r="DX19" s="85">
        <v>45092</v>
      </c>
      <c r="DY19" s="40">
        <v>2915000</v>
      </c>
      <c r="DZ19" s="87">
        <v>5.5E-2</v>
      </c>
      <c r="EA19" s="40">
        <v>179712.5</v>
      </c>
      <c r="EB19" s="40">
        <f t="shared" si="21"/>
        <v>3094712.5</v>
      </c>
      <c r="EC19" s="67"/>
      <c r="ED19" s="85">
        <v>45092</v>
      </c>
      <c r="EE19" s="40">
        <v>3784552.2</v>
      </c>
      <c r="EF19" s="87">
        <v>6.2E-2</v>
      </c>
      <c r="EG19" s="40">
        <v>0</v>
      </c>
      <c r="EH19" s="40">
        <v>15520447.800000001</v>
      </c>
      <c r="EI19" s="40">
        <f t="shared" si="22"/>
        <v>19305000</v>
      </c>
      <c r="EJ19" s="67"/>
      <c r="EK19" s="85">
        <v>45092</v>
      </c>
      <c r="EL19" s="40">
        <v>234770.2</v>
      </c>
      <c r="EM19" s="87">
        <v>6.7000000000000004E-2</v>
      </c>
      <c r="EN19" s="40">
        <v>0</v>
      </c>
      <c r="EO19" s="40">
        <v>1350229.8</v>
      </c>
      <c r="EP19" s="40">
        <f t="shared" si="23"/>
        <v>1585000</v>
      </c>
      <c r="EQ19" s="67"/>
      <c r="ER19" s="85">
        <v>45092</v>
      </c>
      <c r="EW19" s="40">
        <f t="shared" si="24"/>
        <v>0</v>
      </c>
      <c r="EX19" s="67"/>
      <c r="EY19" s="85">
        <v>45092</v>
      </c>
      <c r="FD19" s="40">
        <f t="shared" si="25"/>
        <v>0</v>
      </c>
    </row>
    <row r="20" spans="1:160" x14ac:dyDescent="0.4">
      <c r="A20" s="118">
        <f t="shared" si="28"/>
        <v>46553</v>
      </c>
      <c r="B20" s="85">
        <v>46568</v>
      </c>
      <c r="C20" s="86">
        <f t="shared" si="9"/>
        <v>284070950</v>
      </c>
      <c r="D20" s="40">
        <f t="shared" si="10"/>
        <v>0</v>
      </c>
      <c r="F20" s="85">
        <v>45291</v>
      </c>
      <c r="G20" s="85"/>
      <c r="H20" s="85">
        <v>45275</v>
      </c>
      <c r="I20" s="40"/>
      <c r="O20" s="85">
        <v>45291</v>
      </c>
      <c r="P20" s="85"/>
      <c r="Q20" s="85">
        <v>45275</v>
      </c>
      <c r="R20" s="40">
        <f t="shared" si="0"/>
        <v>19319366.600000001</v>
      </c>
      <c r="S20" s="40">
        <f t="shared" si="1"/>
        <v>51194100</v>
      </c>
      <c r="T20" s="40">
        <f t="shared" si="2"/>
        <v>97320633.400000006</v>
      </c>
      <c r="U20" s="40">
        <f t="shared" si="3"/>
        <v>0</v>
      </c>
      <c r="V20" s="40">
        <f t="shared" si="26"/>
        <v>167834100</v>
      </c>
      <c r="X20" s="85">
        <v>45275</v>
      </c>
      <c r="Y20" s="40"/>
      <c r="Z20" s="101"/>
      <c r="AA20" s="40"/>
      <c r="AB20" s="101"/>
      <c r="AC20" s="40">
        <f t="shared" si="27"/>
        <v>19862625</v>
      </c>
      <c r="AD20" s="40"/>
      <c r="AE20" s="40"/>
      <c r="AF20" s="40">
        <f t="shared" si="11"/>
        <v>19862625</v>
      </c>
      <c r="AH20" s="85">
        <v>45275</v>
      </c>
      <c r="AI20" s="40"/>
      <c r="AJ20" s="101"/>
      <c r="AK20" s="40"/>
      <c r="AL20" s="40"/>
      <c r="AM20" s="40"/>
      <c r="AN20" s="40">
        <f t="shared" si="4"/>
        <v>0</v>
      </c>
      <c r="AP20" s="85">
        <v>45275</v>
      </c>
      <c r="AQ20" s="40">
        <v>0</v>
      </c>
      <c r="AR20" s="101"/>
      <c r="AS20" s="40">
        <v>4750125</v>
      </c>
      <c r="AT20" s="40">
        <v>0</v>
      </c>
      <c r="AU20" s="40"/>
      <c r="AV20" s="40">
        <f t="shared" si="12"/>
        <v>4750125</v>
      </c>
      <c r="AX20" s="85">
        <v>45275</v>
      </c>
      <c r="AY20" s="40">
        <v>0</v>
      </c>
      <c r="BA20" s="40">
        <v>1460250</v>
      </c>
      <c r="BB20" s="40">
        <v>0</v>
      </c>
      <c r="BC20" s="40">
        <f t="shared" si="13"/>
        <v>1460250</v>
      </c>
      <c r="BE20" s="85">
        <v>45275</v>
      </c>
      <c r="BF20" s="40">
        <v>0</v>
      </c>
      <c r="BG20" s="40"/>
      <c r="BH20" s="40">
        <v>3425625</v>
      </c>
      <c r="BI20" s="40">
        <v>0</v>
      </c>
      <c r="BJ20" s="40">
        <f t="shared" si="14"/>
        <v>3425625</v>
      </c>
      <c r="BL20" s="85">
        <v>45275</v>
      </c>
      <c r="BM20" s="40">
        <v>0</v>
      </c>
      <c r="BN20" s="40"/>
      <c r="BO20" s="40">
        <v>1655375</v>
      </c>
      <c r="BP20" s="40">
        <f t="shared" si="15"/>
        <v>1655375</v>
      </c>
      <c r="BR20" s="85">
        <v>45275</v>
      </c>
      <c r="BS20" s="40">
        <v>0</v>
      </c>
      <c r="BT20" s="87">
        <v>0</v>
      </c>
      <c r="BU20" s="40">
        <f t="shared" si="5"/>
        <v>2426875</v>
      </c>
      <c r="BV20" s="40">
        <f t="shared" si="16"/>
        <v>2426875</v>
      </c>
      <c r="BX20" s="85">
        <v>45275</v>
      </c>
      <c r="BY20" s="40">
        <v>0</v>
      </c>
      <c r="BZ20" s="87">
        <v>0</v>
      </c>
      <c r="CA20" s="40">
        <v>12885687.5</v>
      </c>
      <c r="CB20" s="40">
        <v>0</v>
      </c>
      <c r="CC20" s="40">
        <f t="shared" si="6"/>
        <v>12885687.5</v>
      </c>
      <c r="CD20" s="67"/>
      <c r="CE20" s="85">
        <v>45275</v>
      </c>
      <c r="CF20" s="92"/>
      <c r="CG20" s="89"/>
      <c r="CH20" s="91"/>
      <c r="CJ20" s="67"/>
      <c r="CK20" s="85">
        <v>45275</v>
      </c>
      <c r="CL20" s="40"/>
      <c r="CM20" s="87"/>
      <c r="CN20" s="40"/>
      <c r="CO20" s="40">
        <v>0</v>
      </c>
      <c r="CP20" s="40">
        <f t="shared" si="17"/>
        <v>0</v>
      </c>
      <c r="CQ20" s="67"/>
      <c r="CR20" s="85">
        <v>45275</v>
      </c>
      <c r="CS20" s="40"/>
      <c r="CT20" s="87"/>
      <c r="CU20" s="40"/>
      <c r="CV20" s="40">
        <f t="shared" si="18"/>
        <v>0</v>
      </c>
      <c r="CW20" s="67"/>
      <c r="CX20" s="85">
        <v>45275</v>
      </c>
      <c r="CY20" s="40">
        <v>5059821.5999999996</v>
      </c>
      <c r="CZ20" s="87"/>
      <c r="DA20" s="40">
        <v>2537162.5</v>
      </c>
      <c r="DB20" s="40">
        <v>56585178.399999999</v>
      </c>
      <c r="DC20" s="40">
        <f t="shared" si="19"/>
        <v>64182162.5</v>
      </c>
      <c r="DD20" s="40"/>
      <c r="DE20" s="85">
        <v>45275</v>
      </c>
      <c r="DF20" s="40"/>
      <c r="DG20" s="87"/>
      <c r="DH20" s="40"/>
      <c r="DI20" s="40"/>
      <c r="DJ20" s="40">
        <f t="shared" si="8"/>
        <v>0</v>
      </c>
      <c r="DK20" s="40"/>
      <c r="DL20" s="85">
        <v>45275</v>
      </c>
      <c r="DQ20" s="67"/>
      <c r="DR20" s="85">
        <v>45275</v>
      </c>
      <c r="DS20" s="40">
        <v>1075000</v>
      </c>
      <c r="DT20" s="87">
        <v>5.5E-2</v>
      </c>
      <c r="DU20" s="40">
        <v>2090825</v>
      </c>
      <c r="DV20" s="40">
        <f t="shared" si="20"/>
        <v>3165825</v>
      </c>
      <c r="DW20" s="67"/>
      <c r="DX20" s="85">
        <v>45275</v>
      </c>
      <c r="DY20" s="40">
        <v>3620000</v>
      </c>
      <c r="DZ20" s="87">
        <v>5.5E-2</v>
      </c>
      <c r="EA20" s="40">
        <v>99550</v>
      </c>
      <c r="EB20" s="40">
        <f t="shared" si="21"/>
        <v>3719550</v>
      </c>
      <c r="EC20" s="67"/>
      <c r="ED20" s="85">
        <v>45275</v>
      </c>
      <c r="EE20" s="40">
        <v>9564545</v>
      </c>
      <c r="EF20" s="87">
        <v>6.2E-2</v>
      </c>
      <c r="EG20" s="40">
        <v>0</v>
      </c>
      <c r="EH20" s="40">
        <v>40735455</v>
      </c>
      <c r="EI20" s="40">
        <f t="shared" si="22"/>
        <v>50300000</v>
      </c>
      <c r="EJ20" s="67"/>
      <c r="EK20" s="85">
        <v>45275</v>
      </c>
      <c r="EL20" s="40"/>
      <c r="EM20" s="87">
        <v>0</v>
      </c>
      <c r="EN20" s="40">
        <v>0</v>
      </c>
      <c r="EO20" s="40">
        <v>0</v>
      </c>
      <c r="EP20" s="40">
        <f t="shared" si="23"/>
        <v>0</v>
      </c>
      <c r="EQ20" s="67"/>
      <c r="ER20" s="85">
        <v>45275</v>
      </c>
      <c r="EW20" s="40">
        <f t="shared" si="24"/>
        <v>0</v>
      </c>
      <c r="EX20" s="67"/>
      <c r="EY20" s="85">
        <v>45275</v>
      </c>
      <c r="FD20" s="40">
        <f t="shared" si="25"/>
        <v>0</v>
      </c>
    </row>
    <row r="21" spans="1:160" x14ac:dyDescent="0.4">
      <c r="A21" s="118">
        <f t="shared" si="28"/>
        <v>46919</v>
      </c>
      <c r="B21" s="85">
        <v>46934</v>
      </c>
      <c r="C21" s="86">
        <f t="shared" si="9"/>
        <v>299033087.5</v>
      </c>
      <c r="D21" s="40">
        <f t="shared" si="10"/>
        <v>0</v>
      </c>
      <c r="F21" s="85">
        <v>45473</v>
      </c>
      <c r="G21" s="85"/>
      <c r="H21" s="85">
        <v>45458</v>
      </c>
      <c r="I21" s="40">
        <f>SUM(Y20:Y21,AA20:AA21,AI20:AI21,AQ20:AQ21,AY20:AY21,BF20:BF21,BM20:BM21,BS20:BS21,BY20:BY21,CF20:CF21,CL20:CL21,CS20:CS21,CY20:CY21,DF20:DF21,DM20:DM21,DS20:DS21,DY20:DY21,EE20:EE21,EL20:EL21,ES20:ES21,EZ20:EZ21)</f>
        <v>39951513.100000001</v>
      </c>
      <c r="J21" s="40">
        <f>SUM(AC20:AC21,AK20:AK21,AS20:AS21,BA20:BA21,BH20:BH21,BO20:BO21,BU20:BU21,CA20:CA21,CH20:CH21,CN20:CN21,CU20:CU21,DA20:DA21,DH20:DH21,DO20:DO21,DU20:DU21,EA20:EA21,EG20:EG21,EN20:EN21,EU20:EU21,FB20:FB21)</f>
        <v>102259087.5</v>
      </c>
      <c r="K21" s="40">
        <f>SUM(AD20:AD21,AL20:AL21,AT20:AT21,BB20:BB21,BI20:BI21,CB20:CB21,CO20:CO21,DB20:DB21,DI20:DI21,EH20:EH21,EO20:EO21,EV20:EV21,FC20:FC21)</f>
        <v>127498486.90000001</v>
      </c>
      <c r="L21" s="40">
        <f>SUM(AE20:AE21,AM20:AM21,AU20:AU21)</f>
        <v>0</v>
      </c>
      <c r="M21" s="40">
        <f>SUM(I21:L21)</f>
        <v>269709087.5</v>
      </c>
      <c r="O21" s="85">
        <v>45473</v>
      </c>
      <c r="P21" s="85"/>
      <c r="Q21" s="85">
        <v>45458</v>
      </c>
      <c r="R21" s="40">
        <f t="shared" si="0"/>
        <v>20632146.500000004</v>
      </c>
      <c r="S21" s="40">
        <f t="shared" si="1"/>
        <v>51064987.5</v>
      </c>
      <c r="T21" s="40">
        <f t="shared" si="2"/>
        <v>30177853.5</v>
      </c>
      <c r="U21" s="40">
        <f t="shared" si="3"/>
        <v>0</v>
      </c>
      <c r="V21" s="40">
        <f t="shared" si="26"/>
        <v>101874987.5</v>
      </c>
      <c r="X21" s="85">
        <v>45458</v>
      </c>
      <c r="Y21" s="40"/>
      <c r="Z21" s="101"/>
      <c r="AA21" s="40"/>
      <c r="AB21" s="101"/>
      <c r="AC21" s="40">
        <f t="shared" si="27"/>
        <v>19862625</v>
      </c>
      <c r="AD21" s="40"/>
      <c r="AE21" s="40"/>
      <c r="AF21" s="40">
        <f t="shared" si="11"/>
        <v>19862625</v>
      </c>
      <c r="AH21" s="85">
        <v>45458</v>
      </c>
      <c r="AI21" s="40"/>
      <c r="AJ21" s="101"/>
      <c r="AK21" s="40"/>
      <c r="AL21" s="40"/>
      <c r="AM21" s="40"/>
      <c r="AN21" s="40">
        <f t="shared" si="4"/>
        <v>0</v>
      </c>
      <c r="AP21" s="85">
        <v>45458</v>
      </c>
      <c r="AQ21" s="40">
        <v>0</v>
      </c>
      <c r="AR21" s="101"/>
      <c r="AS21" s="40">
        <v>4750125</v>
      </c>
      <c r="AT21" s="40">
        <v>0</v>
      </c>
      <c r="AU21" s="40"/>
      <c r="AV21" s="40">
        <f t="shared" si="12"/>
        <v>4750125</v>
      </c>
      <c r="AX21" s="85">
        <v>45458</v>
      </c>
      <c r="AY21" s="40">
        <v>0</v>
      </c>
      <c r="BA21" s="40">
        <v>1460250</v>
      </c>
      <c r="BB21" s="40">
        <v>0</v>
      </c>
      <c r="BC21" s="40">
        <f t="shared" si="13"/>
        <v>1460250</v>
      </c>
      <c r="BE21" s="85">
        <v>45458</v>
      </c>
      <c r="BF21" s="40">
        <v>0</v>
      </c>
      <c r="BG21" s="40"/>
      <c r="BH21" s="40">
        <v>3425625</v>
      </c>
      <c r="BI21" s="40">
        <v>0</v>
      </c>
      <c r="BJ21" s="40">
        <f t="shared" si="14"/>
        <v>3425625</v>
      </c>
      <c r="BL21" s="85">
        <v>45458</v>
      </c>
      <c r="BM21" s="40">
        <v>0</v>
      </c>
      <c r="BN21" s="40"/>
      <c r="BO21" s="40">
        <v>1655375</v>
      </c>
      <c r="BP21" s="40">
        <f t="shared" si="15"/>
        <v>1655375</v>
      </c>
      <c r="BR21" s="85">
        <v>45458</v>
      </c>
      <c r="BS21" s="40">
        <v>0</v>
      </c>
      <c r="BT21" s="87">
        <v>0</v>
      </c>
      <c r="BU21" s="40">
        <f t="shared" si="5"/>
        <v>2426875</v>
      </c>
      <c r="BV21" s="40">
        <f t="shared" si="16"/>
        <v>2426875</v>
      </c>
      <c r="BX21" s="85">
        <v>45458</v>
      </c>
      <c r="BY21" s="40">
        <v>0</v>
      </c>
      <c r="BZ21" s="87">
        <v>0</v>
      </c>
      <c r="CA21" s="40">
        <v>12885687.5</v>
      </c>
      <c r="CB21" s="40">
        <v>0</v>
      </c>
      <c r="CC21" s="40">
        <f t="shared" si="6"/>
        <v>12885687.5</v>
      </c>
      <c r="CD21" s="67"/>
      <c r="CE21" s="85">
        <v>45458</v>
      </c>
      <c r="CF21" s="91"/>
      <c r="CG21" s="89"/>
      <c r="CH21" s="91"/>
      <c r="CJ21" s="67"/>
      <c r="CK21" s="85">
        <v>45458</v>
      </c>
      <c r="CL21" s="40"/>
      <c r="CM21" s="87"/>
      <c r="CN21" s="40"/>
      <c r="CO21" s="40">
        <v>0</v>
      </c>
      <c r="CP21" s="40">
        <f t="shared" si="17"/>
        <v>0</v>
      </c>
      <c r="CQ21" s="67"/>
      <c r="CR21" s="85">
        <v>45458</v>
      </c>
      <c r="CS21" s="40"/>
      <c r="CT21" s="87"/>
      <c r="CU21" s="40"/>
      <c r="CV21" s="40">
        <f t="shared" si="18"/>
        <v>0</v>
      </c>
      <c r="CW21" s="67"/>
      <c r="CX21" s="85">
        <v>45458</v>
      </c>
      <c r="CY21" s="40">
        <v>9884423.7000000011</v>
      </c>
      <c r="CZ21" s="87"/>
      <c r="DA21" s="40">
        <v>2537162.5</v>
      </c>
      <c r="DB21" s="40">
        <v>13020576.299999999</v>
      </c>
      <c r="DC21" s="40">
        <f t="shared" si="19"/>
        <v>25442162.5</v>
      </c>
      <c r="DD21" s="40"/>
      <c r="DE21" s="85">
        <v>45458</v>
      </c>
      <c r="DG21" s="87"/>
      <c r="DJ21" s="40">
        <f t="shared" si="8"/>
        <v>0</v>
      </c>
      <c r="DK21" s="40"/>
      <c r="DL21" s="85">
        <v>45458</v>
      </c>
      <c r="DR21" s="85">
        <v>45458</v>
      </c>
      <c r="DS21" s="40">
        <v>7015000</v>
      </c>
      <c r="DT21" s="87">
        <v>5.5E-2</v>
      </c>
      <c r="DU21" s="40">
        <v>2061262.5</v>
      </c>
      <c r="DV21" s="40">
        <f t="shared" si="20"/>
        <v>9076262.5</v>
      </c>
      <c r="DX21" s="85">
        <v>45458</v>
      </c>
      <c r="DY21" s="40">
        <v>0</v>
      </c>
      <c r="DZ21" s="87">
        <v>0</v>
      </c>
      <c r="EA21" s="40">
        <v>0</v>
      </c>
      <c r="EB21" s="40">
        <f t="shared" si="21"/>
        <v>0</v>
      </c>
      <c r="ED21" s="85">
        <v>45458</v>
      </c>
      <c r="EE21" s="40">
        <v>3512930.85</v>
      </c>
      <c r="EF21" s="87">
        <v>6.25E-2</v>
      </c>
      <c r="EG21" s="40">
        <v>0</v>
      </c>
      <c r="EH21" s="40">
        <v>15792069.15</v>
      </c>
      <c r="EI21" s="40">
        <f t="shared" si="22"/>
        <v>19305000</v>
      </c>
      <c r="EK21" s="85">
        <v>45458</v>
      </c>
      <c r="EL21" s="40">
        <v>219791.94999999998</v>
      </c>
      <c r="EM21" s="87">
        <v>6.7000000000000004E-2</v>
      </c>
      <c r="EN21" s="40">
        <v>0</v>
      </c>
      <c r="EO21" s="40">
        <v>1365208.05</v>
      </c>
      <c r="EP21" s="40">
        <f t="shared" si="23"/>
        <v>1585000</v>
      </c>
      <c r="ER21" s="85">
        <v>45458</v>
      </c>
      <c r="EW21" s="40">
        <f t="shared" si="24"/>
        <v>0</v>
      </c>
      <c r="EY21" s="85">
        <v>45458</v>
      </c>
      <c r="FD21" s="40">
        <f t="shared" si="25"/>
        <v>0</v>
      </c>
    </row>
    <row r="22" spans="1:160" x14ac:dyDescent="0.4">
      <c r="A22" s="118">
        <f t="shared" si="28"/>
        <v>47284</v>
      </c>
      <c r="B22" s="85">
        <v>47299</v>
      </c>
      <c r="C22" s="86">
        <f t="shared" si="9"/>
        <v>314072125</v>
      </c>
      <c r="D22" s="40">
        <f t="shared" si="10"/>
        <v>0</v>
      </c>
      <c r="F22" s="85">
        <v>45657</v>
      </c>
      <c r="G22" s="85"/>
      <c r="H22" s="85">
        <v>45641</v>
      </c>
      <c r="I22" s="40"/>
      <c r="O22" s="85">
        <v>45657</v>
      </c>
      <c r="P22" s="85"/>
      <c r="Q22" s="85">
        <v>45641</v>
      </c>
      <c r="R22" s="40">
        <f t="shared" si="0"/>
        <v>17916601.25</v>
      </c>
      <c r="S22" s="40">
        <f t="shared" si="1"/>
        <v>50219282.5</v>
      </c>
      <c r="T22" s="40">
        <f t="shared" si="2"/>
        <v>92468398.75</v>
      </c>
      <c r="U22" s="40">
        <f t="shared" si="3"/>
        <v>0</v>
      </c>
      <c r="V22" s="40">
        <f t="shared" si="26"/>
        <v>160604282.5</v>
      </c>
      <c r="X22" s="85">
        <v>45641</v>
      </c>
      <c r="Y22" s="40"/>
      <c r="Z22" s="101"/>
      <c r="AA22" s="40"/>
      <c r="AB22" s="101"/>
      <c r="AC22" s="40">
        <f t="shared" si="27"/>
        <v>19862625</v>
      </c>
      <c r="AD22" s="40"/>
      <c r="AE22" s="40"/>
      <c r="AF22" s="40">
        <f t="shared" si="11"/>
        <v>19862625</v>
      </c>
      <c r="AH22" s="85">
        <v>45641</v>
      </c>
      <c r="AI22" s="40"/>
      <c r="AJ22" s="101"/>
      <c r="AK22" s="40"/>
      <c r="AL22" s="40"/>
      <c r="AM22" s="40"/>
      <c r="AN22" s="40">
        <f t="shared" si="4"/>
        <v>0</v>
      </c>
      <c r="AP22" s="85">
        <v>45641</v>
      </c>
      <c r="AQ22" s="40">
        <v>0</v>
      </c>
      <c r="AR22" s="101"/>
      <c r="AS22" s="40">
        <v>4750125</v>
      </c>
      <c r="AT22" s="40">
        <v>0</v>
      </c>
      <c r="AU22" s="40"/>
      <c r="AV22" s="40">
        <f t="shared" si="12"/>
        <v>4750125</v>
      </c>
      <c r="AX22" s="85">
        <v>45641</v>
      </c>
      <c r="AY22" s="40">
        <v>0</v>
      </c>
      <c r="BA22" s="40">
        <v>1460250</v>
      </c>
      <c r="BB22" s="40">
        <v>0</v>
      </c>
      <c r="BC22" s="40">
        <f t="shared" si="13"/>
        <v>1460250</v>
      </c>
      <c r="BE22" s="85">
        <v>45641</v>
      </c>
      <c r="BF22" s="40">
        <v>0</v>
      </c>
      <c r="BG22" s="40"/>
      <c r="BH22" s="40">
        <v>3425625</v>
      </c>
      <c r="BI22" s="40">
        <v>0</v>
      </c>
      <c r="BJ22" s="40">
        <f t="shared" si="14"/>
        <v>3425625</v>
      </c>
      <c r="BL22" s="85">
        <v>45641</v>
      </c>
      <c r="BM22" s="40">
        <v>0</v>
      </c>
      <c r="BN22" s="40"/>
      <c r="BO22" s="40">
        <v>1655375</v>
      </c>
      <c r="BP22" s="40">
        <f t="shared" si="15"/>
        <v>1655375</v>
      </c>
      <c r="BR22" s="85">
        <v>45641</v>
      </c>
      <c r="BS22" s="40">
        <v>0</v>
      </c>
      <c r="BT22" s="87">
        <v>0</v>
      </c>
      <c r="BU22" s="40">
        <f t="shared" si="5"/>
        <v>2426875</v>
      </c>
      <c r="BV22" s="40">
        <f t="shared" si="16"/>
        <v>2426875</v>
      </c>
      <c r="BX22" s="85">
        <v>45641</v>
      </c>
      <c r="BY22" s="40">
        <v>0</v>
      </c>
      <c r="BZ22" s="87">
        <v>0</v>
      </c>
      <c r="CA22" s="40">
        <v>12885687.5</v>
      </c>
      <c r="CB22" s="40">
        <v>0</v>
      </c>
      <c r="CC22" s="40">
        <f t="shared" si="6"/>
        <v>12885687.5</v>
      </c>
      <c r="CD22" s="67"/>
      <c r="CE22" s="85">
        <v>45641</v>
      </c>
      <c r="CF22" s="93"/>
      <c r="CG22" s="89"/>
      <c r="CH22" s="90"/>
      <c r="CJ22" s="67"/>
      <c r="CK22" s="85">
        <v>45641</v>
      </c>
      <c r="CL22" s="40"/>
      <c r="CM22" s="87"/>
      <c r="CN22" s="40"/>
      <c r="CO22" s="40">
        <v>0</v>
      </c>
      <c r="CP22" s="40">
        <f t="shared" si="17"/>
        <v>0</v>
      </c>
      <c r="CQ22" s="67"/>
      <c r="CR22" s="85">
        <v>45641</v>
      </c>
      <c r="CS22" s="40"/>
      <c r="CT22" s="87"/>
      <c r="CU22" s="40"/>
      <c r="CV22" s="40">
        <f t="shared" si="18"/>
        <v>0</v>
      </c>
      <c r="CW22" s="67"/>
      <c r="CX22" s="85">
        <v>45641</v>
      </c>
      <c r="CY22" s="40">
        <v>3988530</v>
      </c>
      <c r="CZ22" s="87"/>
      <c r="DA22" s="40">
        <v>1884370</v>
      </c>
      <c r="DB22" s="40">
        <v>50611470</v>
      </c>
      <c r="DC22" s="40">
        <f t="shared" si="19"/>
        <v>56484370</v>
      </c>
      <c r="DD22" s="40"/>
      <c r="DE22" s="85">
        <v>45641</v>
      </c>
      <c r="DG22" s="87"/>
      <c r="DJ22" s="40">
        <f t="shared" si="8"/>
        <v>0</v>
      </c>
      <c r="DK22" s="40"/>
      <c r="DL22" s="85">
        <v>45641</v>
      </c>
      <c r="DR22" s="85">
        <v>45641</v>
      </c>
      <c r="DS22" s="40">
        <v>4960000</v>
      </c>
      <c r="DT22" s="87">
        <v>5.5E-2</v>
      </c>
      <c r="DU22" s="40">
        <v>1868350</v>
      </c>
      <c r="DV22" s="40">
        <f t="shared" si="20"/>
        <v>6828350</v>
      </c>
      <c r="DX22" s="85">
        <v>45641</v>
      </c>
      <c r="EB22" s="40">
        <f t="shared" si="21"/>
        <v>0</v>
      </c>
      <c r="ED22" s="85">
        <v>45641</v>
      </c>
      <c r="EE22" s="40">
        <v>8968071.25</v>
      </c>
      <c r="EF22" s="87">
        <v>6.25E-2</v>
      </c>
      <c r="EG22" s="40">
        <v>0</v>
      </c>
      <c r="EH22" s="40">
        <v>41856928.75</v>
      </c>
      <c r="EI22" s="40">
        <f t="shared" si="22"/>
        <v>50825000</v>
      </c>
      <c r="EK22" s="85">
        <v>45641</v>
      </c>
      <c r="EL22" s="40"/>
      <c r="EM22" s="87">
        <v>0</v>
      </c>
      <c r="EN22" s="40">
        <v>0</v>
      </c>
      <c r="EO22" s="40">
        <v>0</v>
      </c>
      <c r="EP22" s="40">
        <f t="shared" si="23"/>
        <v>0</v>
      </c>
      <c r="ER22" s="85">
        <v>45641</v>
      </c>
      <c r="EW22" s="40">
        <f t="shared" si="24"/>
        <v>0</v>
      </c>
      <c r="EY22" s="85">
        <v>45641</v>
      </c>
      <c r="FD22" s="40">
        <f t="shared" si="25"/>
        <v>0</v>
      </c>
    </row>
    <row r="23" spans="1:160" x14ac:dyDescent="0.4">
      <c r="A23" s="118">
        <f t="shared" si="28"/>
        <v>47649</v>
      </c>
      <c r="B23" s="85">
        <v>47664</v>
      </c>
      <c r="C23" s="86">
        <f t="shared" si="9"/>
        <v>330075125</v>
      </c>
      <c r="D23" s="40">
        <f t="shared" si="10"/>
        <v>0</v>
      </c>
      <c r="F23" s="85">
        <v>45838</v>
      </c>
      <c r="G23" s="85"/>
      <c r="H23" s="85">
        <v>45823</v>
      </c>
      <c r="I23" s="40">
        <f>SUM(Y22:Y23,AA22:AA23,AI22:AI23,AQ22:AQ23,AY22:AY23,BF22:BF23,BM22:BM23,BS22:BS23,BY22:BY23,CF22:CF23,CL22:CL23,CS22:CS23,CY22:CY23,DF22:DF23,DM22:DM23,DS22:DS23,DY22:DY23,EE22:EE23,EL22:EL23,ES22:ES23,EZ22:EZ23)</f>
        <v>42220150.449999996</v>
      </c>
      <c r="J23" s="40">
        <f>SUM(AC22:AC23,AK22:AK23,AS22:AS23,BA22:BA23,BH22:BH23,BO22:BO23,BU22:BU23,CA22:CA23,CH22:CH23,CN22:CN23,CU22:CU23,DA22:DA23,DH22:DH23,DO22:DO23,DU22:DU23,EA22:EA23,EG22:EG23,EN22:EN23,EU22:EU23,FB22:FB23)</f>
        <v>100302165</v>
      </c>
      <c r="K23" s="40">
        <f>SUM(AD22:AD23,AL22:AL23,AT22:AT23,BB22:BB23,BI22:BI23,CB22:CB23,CO22:CO23,DB22:DB23,DI22:DI23,EH22:EH23,EO22:EO23,EV22:EV23,FC22:FC23)</f>
        <v>127179849.55000001</v>
      </c>
      <c r="L23" s="40">
        <f>SUM(AE22:AE23,AM22:AM23,AU22:AU23)</f>
        <v>0</v>
      </c>
      <c r="M23" s="40">
        <f>SUM(I23:L23)</f>
        <v>269702165</v>
      </c>
      <c r="O23" s="85">
        <v>45838</v>
      </c>
      <c r="P23" s="85"/>
      <c r="Q23" s="85">
        <v>45823</v>
      </c>
      <c r="R23" s="40">
        <f t="shared" si="0"/>
        <v>24303549.200000003</v>
      </c>
      <c r="S23" s="40">
        <f t="shared" si="1"/>
        <v>50082882.5</v>
      </c>
      <c r="T23" s="40">
        <f t="shared" si="2"/>
        <v>34711450.800000004</v>
      </c>
      <c r="U23" s="40">
        <f t="shared" si="3"/>
        <v>0</v>
      </c>
      <c r="V23" s="40">
        <f t="shared" si="26"/>
        <v>109097882.5</v>
      </c>
      <c r="X23" s="85">
        <v>45823</v>
      </c>
      <c r="Y23" s="40"/>
      <c r="Z23" s="101"/>
      <c r="AA23" s="40"/>
      <c r="AB23" s="101"/>
      <c r="AC23" s="40">
        <f t="shared" si="27"/>
        <v>19862625</v>
      </c>
      <c r="AD23" s="40"/>
      <c r="AE23" s="40"/>
      <c r="AF23" s="40">
        <f t="shared" si="11"/>
        <v>19862625</v>
      </c>
      <c r="AH23" s="85">
        <v>45823</v>
      </c>
      <c r="AI23" s="40"/>
      <c r="AJ23" s="101"/>
      <c r="AK23" s="40"/>
      <c r="AL23" s="40"/>
      <c r="AM23" s="40"/>
      <c r="AN23" s="40">
        <f t="shared" si="4"/>
        <v>0</v>
      </c>
      <c r="AP23" s="85">
        <v>45823</v>
      </c>
      <c r="AQ23" s="40">
        <v>0</v>
      </c>
      <c r="AR23" s="101"/>
      <c r="AS23" s="40">
        <v>4750125</v>
      </c>
      <c r="AT23" s="40">
        <v>0</v>
      </c>
      <c r="AU23" s="40"/>
      <c r="AV23" s="40">
        <f t="shared" si="12"/>
        <v>4750125</v>
      </c>
      <c r="AX23" s="85">
        <v>45823</v>
      </c>
      <c r="AY23" s="40">
        <v>0</v>
      </c>
      <c r="BA23" s="40">
        <v>1460250</v>
      </c>
      <c r="BB23" s="40">
        <v>0</v>
      </c>
      <c r="BC23" s="40">
        <f t="shared" si="13"/>
        <v>1460250</v>
      </c>
      <c r="BE23" s="85">
        <v>45823</v>
      </c>
      <c r="BF23" s="40">
        <v>0</v>
      </c>
      <c r="BG23" s="40"/>
      <c r="BH23" s="40">
        <v>3425625</v>
      </c>
      <c r="BI23" s="40">
        <v>0</v>
      </c>
      <c r="BJ23" s="40">
        <f t="shared" si="14"/>
        <v>3425625</v>
      </c>
      <c r="BL23" s="85">
        <v>45823</v>
      </c>
      <c r="BM23" s="40">
        <v>0</v>
      </c>
      <c r="BN23" s="40"/>
      <c r="BO23" s="40">
        <v>1655375</v>
      </c>
      <c r="BP23" s="40">
        <f t="shared" si="15"/>
        <v>1655375</v>
      </c>
      <c r="BR23" s="85">
        <v>45823</v>
      </c>
      <c r="BS23" s="40">
        <v>0</v>
      </c>
      <c r="BT23" s="87">
        <v>0</v>
      </c>
      <c r="BU23" s="40">
        <f t="shared" si="5"/>
        <v>2426875</v>
      </c>
      <c r="BV23" s="40">
        <f t="shared" si="16"/>
        <v>2426875</v>
      </c>
      <c r="BX23" s="85">
        <v>45823</v>
      </c>
      <c r="BY23" s="40">
        <v>0</v>
      </c>
      <c r="BZ23" s="87">
        <v>0</v>
      </c>
      <c r="CA23" s="40">
        <v>12885687.5</v>
      </c>
      <c r="CB23" s="40">
        <v>0</v>
      </c>
      <c r="CC23" s="40">
        <f t="shared" si="6"/>
        <v>12885687.5</v>
      </c>
      <c r="CD23" s="67"/>
      <c r="CE23" s="85">
        <v>45823</v>
      </c>
      <c r="CF23" s="93"/>
      <c r="CG23" s="89"/>
      <c r="CH23" s="90"/>
      <c r="CJ23" s="67"/>
      <c r="CK23" s="85">
        <v>45823</v>
      </c>
      <c r="CL23" s="40"/>
      <c r="CM23" s="87"/>
      <c r="CN23" s="40"/>
      <c r="CO23" s="40">
        <v>0</v>
      </c>
      <c r="CP23" s="40">
        <f t="shared" si="17"/>
        <v>0</v>
      </c>
      <c r="CQ23" s="67"/>
      <c r="CR23" s="85">
        <v>45823</v>
      </c>
      <c r="CS23" s="40"/>
      <c r="CT23" s="87"/>
      <c r="CU23" s="40"/>
      <c r="CV23" s="40">
        <f t="shared" si="18"/>
        <v>0</v>
      </c>
      <c r="CW23" s="67"/>
      <c r="CX23" s="85">
        <v>45823</v>
      </c>
      <c r="CY23" s="40">
        <v>13483467.300000001</v>
      </c>
      <c r="CZ23" s="87"/>
      <c r="DA23" s="40">
        <v>1884370</v>
      </c>
      <c r="DB23" s="40">
        <v>17761532.699999999</v>
      </c>
      <c r="DC23" s="40">
        <f t="shared" si="19"/>
        <v>33129370</v>
      </c>
      <c r="DD23" s="40"/>
      <c r="DE23" s="85">
        <v>45823</v>
      </c>
      <c r="DG23" s="87"/>
      <c r="DJ23" s="40">
        <f t="shared" si="8"/>
        <v>0</v>
      </c>
      <c r="DK23" s="40"/>
      <c r="DL23" s="85">
        <v>45823</v>
      </c>
      <c r="DR23" s="85">
        <v>45823</v>
      </c>
      <c r="DS23" s="40">
        <v>7400000</v>
      </c>
      <c r="DT23" s="87">
        <v>5.5E-2</v>
      </c>
      <c r="DU23" s="40">
        <v>1731950</v>
      </c>
      <c r="DV23" s="40">
        <f t="shared" si="20"/>
        <v>9131950</v>
      </c>
      <c r="DX23" s="85">
        <v>45823</v>
      </c>
      <c r="EB23" s="40">
        <f t="shared" si="21"/>
        <v>0</v>
      </c>
      <c r="ED23" s="85">
        <v>45823</v>
      </c>
      <c r="EE23" s="40">
        <v>3214301.35</v>
      </c>
      <c r="EF23" s="87">
        <v>6.25E-2</v>
      </c>
      <c r="EG23" s="40">
        <v>0</v>
      </c>
      <c r="EH23" s="40">
        <v>15570698.65</v>
      </c>
      <c r="EI23" s="40">
        <f t="shared" si="22"/>
        <v>18785000</v>
      </c>
      <c r="EK23" s="85">
        <v>45823</v>
      </c>
      <c r="EL23" s="40">
        <v>205780.55000000002</v>
      </c>
      <c r="EM23" s="87">
        <v>6.7000000000000004E-2</v>
      </c>
      <c r="EN23" s="40">
        <v>0</v>
      </c>
      <c r="EO23" s="40">
        <v>1379219.45</v>
      </c>
      <c r="EP23" s="40">
        <f t="shared" si="23"/>
        <v>1585000</v>
      </c>
      <c r="ER23" s="85">
        <v>45823</v>
      </c>
      <c r="EW23" s="40">
        <f t="shared" si="24"/>
        <v>0</v>
      </c>
      <c r="EY23" s="85">
        <v>45823</v>
      </c>
      <c r="FD23" s="40">
        <f t="shared" si="25"/>
        <v>0</v>
      </c>
    </row>
    <row r="24" spans="1:160" x14ac:dyDescent="0.4">
      <c r="A24" s="118">
        <f t="shared" si="28"/>
        <v>48014</v>
      </c>
      <c r="B24" s="85">
        <v>48029</v>
      </c>
      <c r="C24" s="86">
        <f t="shared" si="9"/>
        <v>342079250</v>
      </c>
      <c r="D24" s="40">
        <f t="shared" si="10"/>
        <v>0</v>
      </c>
      <c r="F24" s="85">
        <v>46022</v>
      </c>
      <c r="G24" s="85"/>
      <c r="H24" s="85">
        <v>46006</v>
      </c>
      <c r="I24" s="40"/>
      <c r="O24" s="85">
        <v>46022</v>
      </c>
      <c r="P24" s="85"/>
      <c r="Q24" s="85">
        <v>46006</v>
      </c>
      <c r="R24" s="40">
        <f t="shared" si="0"/>
        <v>15031644</v>
      </c>
      <c r="S24" s="40">
        <f t="shared" si="1"/>
        <v>48988900</v>
      </c>
      <c r="T24" s="40">
        <f t="shared" si="2"/>
        <v>60213356</v>
      </c>
      <c r="U24" s="40">
        <f t="shared" si="3"/>
        <v>0</v>
      </c>
      <c r="V24" s="40">
        <f t="shared" si="26"/>
        <v>124233900</v>
      </c>
      <c r="X24" s="85">
        <v>46006</v>
      </c>
      <c r="Y24" s="40"/>
      <c r="Z24" s="101"/>
      <c r="AA24" s="40"/>
      <c r="AB24" s="101"/>
      <c r="AC24" s="40">
        <f t="shared" si="27"/>
        <v>19862625</v>
      </c>
      <c r="AD24" s="40"/>
      <c r="AE24" s="40"/>
      <c r="AF24" s="40">
        <f t="shared" si="11"/>
        <v>19862625</v>
      </c>
      <c r="AH24" s="85">
        <v>46006</v>
      </c>
      <c r="AI24" s="40"/>
      <c r="AJ24" s="101"/>
      <c r="AK24" s="40"/>
      <c r="AL24" s="40"/>
      <c r="AM24" s="40"/>
      <c r="AN24" s="40">
        <f t="shared" si="4"/>
        <v>0</v>
      </c>
      <c r="AP24" s="85">
        <v>46006</v>
      </c>
      <c r="AQ24" s="40">
        <v>0</v>
      </c>
      <c r="AR24" s="101"/>
      <c r="AS24" s="40">
        <v>4750125</v>
      </c>
      <c r="AT24" s="40">
        <v>0</v>
      </c>
      <c r="AU24" s="40"/>
      <c r="AV24" s="40">
        <f t="shared" si="12"/>
        <v>4750125</v>
      </c>
      <c r="AX24" s="85">
        <v>46006</v>
      </c>
      <c r="AY24" s="40">
        <v>5610000</v>
      </c>
      <c r="AZ24" s="101">
        <v>0.05</v>
      </c>
      <c r="BA24" s="40">
        <v>1460250</v>
      </c>
      <c r="BB24" s="40">
        <v>0</v>
      </c>
      <c r="BC24" s="40">
        <f t="shared" si="13"/>
        <v>7070250</v>
      </c>
      <c r="BE24" s="85">
        <v>46006</v>
      </c>
      <c r="BF24" s="40">
        <v>0</v>
      </c>
      <c r="BG24" s="40"/>
      <c r="BH24" s="40">
        <v>3425625</v>
      </c>
      <c r="BI24" s="40">
        <v>0</v>
      </c>
      <c r="BJ24" s="40">
        <f t="shared" si="14"/>
        <v>3425625</v>
      </c>
      <c r="BL24" s="85">
        <v>46006</v>
      </c>
      <c r="BM24" s="40">
        <v>0</v>
      </c>
      <c r="BN24" s="40"/>
      <c r="BO24" s="40">
        <v>1655375</v>
      </c>
      <c r="BP24" s="40">
        <f t="shared" si="15"/>
        <v>1655375</v>
      </c>
      <c r="BR24" s="85">
        <v>46006</v>
      </c>
      <c r="BS24" s="40">
        <v>0</v>
      </c>
      <c r="BT24" s="87">
        <v>0</v>
      </c>
      <c r="BU24" s="40">
        <f t="shared" si="5"/>
        <v>2426875</v>
      </c>
      <c r="BV24" s="40">
        <f t="shared" si="16"/>
        <v>2426875</v>
      </c>
      <c r="BX24" s="85">
        <v>46006</v>
      </c>
      <c r="BY24" s="40">
        <v>0</v>
      </c>
      <c r="BZ24" s="87">
        <v>0</v>
      </c>
      <c r="CA24" s="40">
        <v>12885687.5</v>
      </c>
      <c r="CB24" s="40">
        <v>0</v>
      </c>
      <c r="CC24" s="40">
        <f t="shared" si="6"/>
        <v>12885687.5</v>
      </c>
      <c r="CD24" s="67"/>
      <c r="CE24" s="85">
        <v>46006</v>
      </c>
      <c r="CG24" s="87"/>
      <c r="CJ24" s="67"/>
      <c r="CK24" s="85">
        <v>46006</v>
      </c>
      <c r="CL24" s="40"/>
      <c r="CM24" s="87"/>
      <c r="CN24" s="40"/>
      <c r="CO24" s="40">
        <v>0</v>
      </c>
      <c r="CP24" s="40">
        <f t="shared" si="17"/>
        <v>0</v>
      </c>
      <c r="CQ24" s="67"/>
      <c r="CR24" s="85">
        <v>46006</v>
      </c>
      <c r="CS24" s="40"/>
      <c r="CT24" s="87"/>
      <c r="CU24" s="40"/>
      <c r="CV24" s="40">
        <f t="shared" si="18"/>
        <v>0</v>
      </c>
      <c r="CW24" s="67"/>
      <c r="CX24" s="85">
        <v>46006</v>
      </c>
      <c r="CY24" s="40">
        <v>4186644</v>
      </c>
      <c r="CZ24" s="87"/>
      <c r="DA24" s="40">
        <v>993887.5</v>
      </c>
      <c r="DB24" s="40">
        <v>60213356</v>
      </c>
      <c r="DC24" s="40">
        <f t="shared" si="19"/>
        <v>65393887.5</v>
      </c>
      <c r="DD24" s="40"/>
      <c r="DE24" s="85">
        <v>46006</v>
      </c>
      <c r="DG24" s="87"/>
      <c r="DJ24" s="40">
        <f t="shared" si="8"/>
        <v>0</v>
      </c>
      <c r="DK24" s="40"/>
      <c r="DL24" s="85">
        <v>46006</v>
      </c>
      <c r="DR24" s="85">
        <v>46006</v>
      </c>
      <c r="DS24" s="40">
        <v>5235000</v>
      </c>
      <c r="DT24" s="87">
        <v>5.5E-2</v>
      </c>
      <c r="DU24" s="40">
        <v>1528450</v>
      </c>
      <c r="DV24" s="40">
        <f t="shared" si="20"/>
        <v>6763450</v>
      </c>
      <c r="DX24" s="85">
        <v>46006</v>
      </c>
      <c r="EB24" s="40">
        <f t="shared" si="21"/>
        <v>0</v>
      </c>
      <c r="ED24" s="85">
        <v>46006</v>
      </c>
      <c r="EI24" s="40">
        <f t="shared" si="22"/>
        <v>0</v>
      </c>
      <c r="EK24" s="85">
        <v>46006</v>
      </c>
      <c r="EL24" s="40"/>
      <c r="EM24" s="87">
        <v>0</v>
      </c>
      <c r="EN24" s="40">
        <v>0</v>
      </c>
      <c r="EO24" s="40">
        <v>0</v>
      </c>
      <c r="EP24" s="40">
        <f t="shared" si="23"/>
        <v>0</v>
      </c>
      <c r="ER24" s="85">
        <v>46006</v>
      </c>
      <c r="EW24" s="40">
        <f t="shared" si="24"/>
        <v>0</v>
      </c>
      <c r="EY24" s="85">
        <v>46006</v>
      </c>
      <c r="FD24" s="40">
        <f t="shared" si="25"/>
        <v>0</v>
      </c>
    </row>
    <row r="25" spans="1:160" x14ac:dyDescent="0.4">
      <c r="A25" s="118">
        <f t="shared" si="28"/>
        <v>48380</v>
      </c>
      <c r="B25" s="85">
        <v>48395</v>
      </c>
      <c r="C25" s="86">
        <f t="shared" si="9"/>
        <v>342067252.5</v>
      </c>
      <c r="D25" s="40">
        <f t="shared" si="10"/>
        <v>0</v>
      </c>
      <c r="F25" s="85">
        <v>46203</v>
      </c>
      <c r="G25" s="85"/>
      <c r="H25" s="85">
        <v>46188</v>
      </c>
      <c r="I25" s="40">
        <f>SUM(Y24:Y25,AA24:AA25,AI24:AI25,AQ24:AQ25,AY24:AY25,BF24:BF25,BM24:BM25,BS24:BS25,BY24:BY25,CF24:CF25,CL24:CL25,CS24:CS25,CY24:CY25,DF24:DF25,DM24:DM25,DS24:DS25,DY24:DY25,EE24:EE25,EL24:EL25,ES24:ES25,EZ24:EZ25)</f>
        <v>61079129.400000006</v>
      </c>
      <c r="J25" s="40">
        <f>SUM(AC24:AC25,AK24:AK25,AS24:AS25,BA24:BA25,BH24:BH25,BO24:BO25,BU24:BU25,CA24:CA25,CH24:CH25,CN24:CN25,CU24:CU25,DA24:DA25,DH24:DH25,DO24:DO25,DU24:DU25,EA24:EA25,EG24:EG25,EN24:EN25,EU24:EU25,FB24:FB25)</f>
        <v>97693587.5</v>
      </c>
      <c r="K25" s="40">
        <f>SUM(AD24:AD25,AL24:AL25,AT24:AT25,BB24:BB25,BI24:BI25,CB24:CB25,CO24:CO25,DB24:DB25,DI24:DI25,EH24:EH25,EO24:EO25,EV24:EV25,FC24:FC25)</f>
        <v>112065870.60000001</v>
      </c>
      <c r="L25" s="40">
        <f>SUM(AE24:AE25,AM24:AM25,AU24:AU25)</f>
        <v>0</v>
      </c>
      <c r="M25" s="40">
        <f>SUM(I25:L25)</f>
        <v>270838587.5</v>
      </c>
      <c r="O25" s="85">
        <v>46203</v>
      </c>
      <c r="P25" s="85"/>
      <c r="Q25" s="85">
        <v>46188</v>
      </c>
      <c r="R25" s="40">
        <f t="shared" si="0"/>
        <v>46047485.400000006</v>
      </c>
      <c r="S25" s="40">
        <f t="shared" si="1"/>
        <v>48704687.5</v>
      </c>
      <c r="T25" s="40">
        <f t="shared" si="2"/>
        <v>51852514.599999994</v>
      </c>
      <c r="U25" s="40">
        <f t="shared" si="3"/>
        <v>0</v>
      </c>
      <c r="V25" s="40">
        <f t="shared" si="26"/>
        <v>146604687.5</v>
      </c>
      <c r="X25" s="85">
        <v>46188</v>
      </c>
      <c r="Y25" s="40"/>
      <c r="Z25" s="101"/>
      <c r="AA25" s="40"/>
      <c r="AB25" s="101"/>
      <c r="AC25" s="40">
        <f t="shared" si="27"/>
        <v>19862625</v>
      </c>
      <c r="AD25" s="40"/>
      <c r="AE25" s="40"/>
      <c r="AF25" s="40">
        <f t="shared" si="11"/>
        <v>19862625</v>
      </c>
      <c r="AH25" s="85">
        <v>46188</v>
      </c>
      <c r="AI25" s="40"/>
      <c r="AJ25" s="101"/>
      <c r="AK25" s="40"/>
      <c r="AL25" s="40"/>
      <c r="AM25" s="40"/>
      <c r="AN25" s="40">
        <f t="shared" si="4"/>
        <v>0</v>
      </c>
      <c r="AP25" s="85">
        <v>46188</v>
      </c>
      <c r="AQ25" s="40">
        <v>0</v>
      </c>
      <c r="AR25" s="101"/>
      <c r="AS25" s="40">
        <v>4750125</v>
      </c>
      <c r="AT25" s="40">
        <v>0</v>
      </c>
      <c r="AU25" s="40"/>
      <c r="AV25" s="40">
        <f t="shared" si="12"/>
        <v>4750125</v>
      </c>
      <c r="AX25" s="85">
        <v>46188</v>
      </c>
      <c r="AY25" s="40">
        <v>0</v>
      </c>
      <c r="BA25" s="40">
        <v>1320000</v>
      </c>
      <c r="BB25" s="40">
        <v>0</v>
      </c>
      <c r="BC25" s="40">
        <f t="shared" si="13"/>
        <v>1320000</v>
      </c>
      <c r="BE25" s="85">
        <v>46188</v>
      </c>
      <c r="BF25" s="40">
        <v>0</v>
      </c>
      <c r="BG25" s="40"/>
      <c r="BH25" s="40">
        <v>3425625</v>
      </c>
      <c r="BI25" s="40">
        <v>0</v>
      </c>
      <c r="BJ25" s="40">
        <f t="shared" si="14"/>
        <v>3425625</v>
      </c>
      <c r="BL25" s="85">
        <v>46188</v>
      </c>
      <c r="BM25" s="40">
        <v>0</v>
      </c>
      <c r="BN25" s="40"/>
      <c r="BO25" s="40">
        <v>1655375</v>
      </c>
      <c r="BP25" s="40">
        <f t="shared" si="15"/>
        <v>1655375</v>
      </c>
      <c r="BR25" s="85">
        <v>46188</v>
      </c>
      <c r="BS25" s="40">
        <v>0</v>
      </c>
      <c r="BT25" s="87">
        <v>0</v>
      </c>
      <c r="BU25" s="40">
        <f t="shared" si="5"/>
        <v>2426875</v>
      </c>
      <c r="BV25" s="40">
        <f t="shared" si="16"/>
        <v>2426875</v>
      </c>
      <c r="BX25" s="85">
        <v>46188</v>
      </c>
      <c r="BY25" s="40">
        <v>0</v>
      </c>
      <c r="BZ25" s="87">
        <v>0</v>
      </c>
      <c r="CA25" s="40">
        <v>12885687.5</v>
      </c>
      <c r="CB25" s="40">
        <v>0</v>
      </c>
      <c r="CC25" s="40">
        <f t="shared" si="6"/>
        <v>12885687.5</v>
      </c>
      <c r="CD25" s="67"/>
      <c r="CE25" s="85">
        <v>46188</v>
      </c>
      <c r="CG25" s="87"/>
      <c r="CJ25" s="67"/>
      <c r="CK25" s="85">
        <v>46188</v>
      </c>
      <c r="CL25" s="40">
        <v>21747940.600000001</v>
      </c>
      <c r="CM25" s="87">
        <v>5.7000000000000002E-2</v>
      </c>
      <c r="CN25" s="40"/>
      <c r="CO25" s="40">
        <v>30687059.399999999</v>
      </c>
      <c r="CP25" s="40">
        <f t="shared" si="17"/>
        <v>52435000</v>
      </c>
      <c r="CQ25" s="67"/>
      <c r="CR25" s="85">
        <v>46188</v>
      </c>
      <c r="CS25" s="40"/>
      <c r="CT25" s="87"/>
      <c r="CU25" s="40"/>
      <c r="CV25" s="40">
        <f t="shared" si="18"/>
        <v>0</v>
      </c>
      <c r="CW25" s="67"/>
      <c r="CX25" s="85">
        <v>46188</v>
      </c>
      <c r="CY25" s="40">
        <v>13914756.800000001</v>
      </c>
      <c r="CZ25" s="87"/>
      <c r="DA25" s="40">
        <v>993887.5</v>
      </c>
      <c r="DB25" s="40">
        <v>18565243.199999999</v>
      </c>
      <c r="DC25" s="40">
        <f t="shared" si="19"/>
        <v>33473887.5</v>
      </c>
      <c r="DD25" s="40"/>
      <c r="DE25" s="85">
        <v>46188</v>
      </c>
      <c r="DG25" s="87"/>
      <c r="DJ25" s="40">
        <f t="shared" si="8"/>
        <v>0</v>
      </c>
      <c r="DK25" s="40"/>
      <c r="DL25" s="85">
        <v>46188</v>
      </c>
      <c r="DR25" s="85">
        <v>46188</v>
      </c>
      <c r="DS25" s="40">
        <v>10025000</v>
      </c>
      <c r="DT25" s="87">
        <v>5.5E-2</v>
      </c>
      <c r="DU25" s="40">
        <v>1384487.5</v>
      </c>
      <c r="DV25" s="40">
        <f t="shared" si="20"/>
        <v>11409487.5</v>
      </c>
      <c r="DX25" s="85">
        <v>46188</v>
      </c>
      <c r="EB25" s="40">
        <f t="shared" si="21"/>
        <v>0</v>
      </c>
      <c r="ED25" s="85">
        <v>46188</v>
      </c>
      <c r="EI25" s="40">
        <f t="shared" si="22"/>
        <v>0</v>
      </c>
      <c r="EK25" s="85">
        <v>46188</v>
      </c>
      <c r="EL25" s="40">
        <v>359788</v>
      </c>
      <c r="EM25" s="87">
        <v>6.7000000000000004E-2</v>
      </c>
      <c r="EN25" s="40">
        <v>0</v>
      </c>
      <c r="EO25" s="40">
        <v>2600212</v>
      </c>
      <c r="EP25" s="40">
        <f t="shared" si="23"/>
        <v>2960000</v>
      </c>
      <c r="ER25" s="85">
        <v>46188</v>
      </c>
      <c r="EW25" s="40">
        <f t="shared" si="24"/>
        <v>0</v>
      </c>
      <c r="EY25" s="85">
        <v>46188</v>
      </c>
      <c r="FD25" s="40">
        <f t="shared" si="25"/>
        <v>0</v>
      </c>
    </row>
    <row r="26" spans="1:160" x14ac:dyDescent="0.4">
      <c r="A26" s="118">
        <f t="shared" si="28"/>
        <v>48745</v>
      </c>
      <c r="B26" s="85">
        <v>48760</v>
      </c>
      <c r="C26" s="86">
        <f t="shared" si="9"/>
        <v>342081877.5</v>
      </c>
      <c r="D26" s="40">
        <f t="shared" si="10"/>
        <v>0</v>
      </c>
      <c r="F26" s="85">
        <v>46387</v>
      </c>
      <c r="G26" s="85"/>
      <c r="H26" s="85">
        <v>46371</v>
      </c>
      <c r="I26" s="40"/>
      <c r="O26" s="85">
        <v>46387</v>
      </c>
      <c r="P26" s="85"/>
      <c r="Q26" s="85">
        <v>46371</v>
      </c>
      <c r="R26" s="40">
        <f t="shared" si="0"/>
        <v>71834290.400000006</v>
      </c>
      <c r="S26" s="40">
        <f t="shared" si="1"/>
        <v>47495200</v>
      </c>
      <c r="T26" s="40">
        <f t="shared" si="2"/>
        <v>39230709.600000001</v>
      </c>
      <c r="U26" s="40">
        <f t="shared" si="3"/>
        <v>0</v>
      </c>
      <c r="V26" s="40">
        <f t="shared" si="26"/>
        <v>158560200</v>
      </c>
      <c r="X26" s="85">
        <v>46371</v>
      </c>
      <c r="Y26" s="40"/>
      <c r="Z26" s="101"/>
      <c r="AA26" s="40"/>
      <c r="AB26" s="101"/>
      <c r="AC26" s="40">
        <f t="shared" si="27"/>
        <v>19862625</v>
      </c>
      <c r="AD26" s="40"/>
      <c r="AE26" s="40"/>
      <c r="AF26" s="40">
        <f t="shared" si="11"/>
        <v>19862625</v>
      </c>
      <c r="AH26" s="85">
        <v>46371</v>
      </c>
      <c r="AI26" s="40"/>
      <c r="AJ26" s="101"/>
      <c r="AK26" s="40"/>
      <c r="AL26" s="40"/>
      <c r="AM26" s="40"/>
      <c r="AN26" s="40">
        <f t="shared" si="4"/>
        <v>0</v>
      </c>
      <c r="AP26" s="85">
        <v>46371</v>
      </c>
      <c r="AQ26" s="40">
        <v>0</v>
      </c>
      <c r="AR26" s="101"/>
      <c r="AS26" s="40">
        <v>4750125</v>
      </c>
      <c r="AT26" s="40">
        <v>0</v>
      </c>
      <c r="AU26" s="40"/>
      <c r="AV26" s="40">
        <f t="shared" si="12"/>
        <v>4750125</v>
      </c>
      <c r="AX26" s="85">
        <v>46371</v>
      </c>
      <c r="AY26" s="40">
        <v>16325000</v>
      </c>
      <c r="AZ26" s="101">
        <v>0.05</v>
      </c>
      <c r="BA26" s="40">
        <v>1320000</v>
      </c>
      <c r="BB26" s="40">
        <v>0</v>
      </c>
      <c r="BC26" s="40">
        <f t="shared" si="13"/>
        <v>17645000</v>
      </c>
      <c r="BE26" s="85">
        <v>46371</v>
      </c>
      <c r="BF26" s="40">
        <v>0</v>
      </c>
      <c r="BG26" s="40"/>
      <c r="BH26" s="40">
        <v>3425625</v>
      </c>
      <c r="BI26" s="40">
        <v>0</v>
      </c>
      <c r="BJ26" s="40">
        <f t="shared" si="14"/>
        <v>3425625</v>
      </c>
      <c r="BL26" s="85">
        <v>46371</v>
      </c>
      <c r="BM26" s="40">
        <v>0</v>
      </c>
      <c r="BN26" s="40"/>
      <c r="BO26" s="40">
        <v>1655375</v>
      </c>
      <c r="BP26" s="40">
        <f t="shared" si="15"/>
        <v>1655375</v>
      </c>
      <c r="BR26" s="85">
        <v>46371</v>
      </c>
      <c r="BS26" s="40">
        <v>0</v>
      </c>
      <c r="BT26" s="87">
        <v>0</v>
      </c>
      <c r="BU26" s="40">
        <f t="shared" si="5"/>
        <v>2426875</v>
      </c>
      <c r="BV26" s="40">
        <f t="shared" si="16"/>
        <v>2426875</v>
      </c>
      <c r="BX26" s="85">
        <v>46371</v>
      </c>
      <c r="BY26" s="40">
        <v>47570000</v>
      </c>
      <c r="BZ26" s="87">
        <v>0.05</v>
      </c>
      <c r="CA26" s="40">
        <v>12885687.5</v>
      </c>
      <c r="CB26" s="40">
        <v>0</v>
      </c>
      <c r="CC26" s="40">
        <f t="shared" si="6"/>
        <v>60455687.5</v>
      </c>
      <c r="CD26" s="67"/>
      <c r="CE26" s="85">
        <v>46371</v>
      </c>
      <c r="CG26" s="87"/>
      <c r="CJ26" s="67"/>
      <c r="CK26" s="85">
        <v>46371</v>
      </c>
      <c r="CL26" s="40"/>
      <c r="CM26" s="87"/>
      <c r="CN26" s="40"/>
      <c r="CO26" s="40">
        <v>0</v>
      </c>
      <c r="CP26" s="40">
        <f t="shared" si="17"/>
        <v>0</v>
      </c>
      <c r="CQ26" s="67"/>
      <c r="CR26" s="85">
        <v>46371</v>
      </c>
      <c r="CS26" s="40"/>
      <c r="CT26" s="87"/>
      <c r="CU26" s="40"/>
      <c r="CV26" s="40">
        <f t="shared" si="18"/>
        <v>0</v>
      </c>
      <c r="CW26" s="67"/>
      <c r="CX26" s="85">
        <v>46371</v>
      </c>
      <c r="CY26" s="40">
        <v>2409290.4</v>
      </c>
      <c r="CZ26" s="87"/>
      <c r="DA26" s="40">
        <v>60087.5</v>
      </c>
      <c r="DB26" s="40">
        <v>39230709.600000001</v>
      </c>
      <c r="DC26" s="40">
        <f t="shared" si="19"/>
        <v>41700087.5</v>
      </c>
      <c r="DD26" s="40"/>
      <c r="DE26" s="85">
        <v>46371</v>
      </c>
      <c r="DG26" s="87"/>
      <c r="DJ26" s="40">
        <f t="shared" si="8"/>
        <v>0</v>
      </c>
      <c r="DK26" s="40"/>
      <c r="DL26" s="85">
        <v>46371</v>
      </c>
      <c r="DR26" s="85">
        <v>46371</v>
      </c>
      <c r="DS26" s="40">
        <v>5530000</v>
      </c>
      <c r="DT26" s="87">
        <v>5.5E-2</v>
      </c>
      <c r="DU26" s="40">
        <v>1108800</v>
      </c>
      <c r="DV26" s="40">
        <f t="shared" si="20"/>
        <v>6638800</v>
      </c>
      <c r="DX26" s="85">
        <v>46371</v>
      </c>
      <c r="EB26" s="40">
        <f t="shared" si="21"/>
        <v>0</v>
      </c>
      <c r="ED26" s="85">
        <v>46371</v>
      </c>
      <c r="EI26" s="40">
        <f t="shared" si="22"/>
        <v>0</v>
      </c>
      <c r="EK26" s="85">
        <v>46371</v>
      </c>
      <c r="EL26" s="40"/>
      <c r="EM26" s="87">
        <v>0</v>
      </c>
      <c r="EN26" s="40">
        <v>0</v>
      </c>
      <c r="EO26" s="40">
        <v>0</v>
      </c>
      <c r="EP26" s="40">
        <f t="shared" si="23"/>
        <v>0</v>
      </c>
      <c r="ER26" s="85">
        <v>46371</v>
      </c>
      <c r="EW26" s="40">
        <f t="shared" si="24"/>
        <v>0</v>
      </c>
      <c r="EY26" s="85">
        <v>46371</v>
      </c>
      <c r="FD26" s="40">
        <f t="shared" si="25"/>
        <v>0</v>
      </c>
    </row>
    <row r="27" spans="1:160" x14ac:dyDescent="0.4">
      <c r="A27" s="118">
        <f t="shared" si="28"/>
        <v>49110</v>
      </c>
      <c r="B27" s="85">
        <v>49125</v>
      </c>
      <c r="C27" s="86">
        <f t="shared" si="9"/>
        <v>342069502.5</v>
      </c>
      <c r="D27" s="40">
        <f t="shared" si="10"/>
        <v>0</v>
      </c>
      <c r="F27" s="85">
        <v>46568</v>
      </c>
      <c r="G27" s="85"/>
      <c r="H27" s="85">
        <v>46553</v>
      </c>
      <c r="I27" s="40">
        <f>SUM(Y26:Y27,AA26:AA27,AI26:AI27,AQ26:AQ27,AY26:AY27,BF26:BF27,BM26:BM27,BS26:BS27,BY26:BY27,CF26:CF27,CL26:CL27,CS26:CS27,CY26:CY27,DF26:DF27,DM26:DM27,DS26:DS27,DY26:DY27,EE26:EE27,EL26:EL27,ES26:ES27,EZ26:EZ27)</f>
        <v>108269224.50000001</v>
      </c>
      <c r="J27" s="40">
        <f>SUM(AC26:AC27,AK26:AK27,AS26:AS27,BA26:BA27,BH26:BH27,BO26:BO27,BU26:BU27,CA26:CA27,CH26:CH27,CN26:CN27,CU26:CU27,DA26:DA27,DH26:DH27,DO26:DO27,DU26:DU27,EA26:EA27,EG26:EG27,EN26:EN27,EU26:EU27,FB26:FB27)</f>
        <v>93240950</v>
      </c>
      <c r="K27" s="40">
        <f>SUM(AD26:AD27,AL26:AL27,AT26:AT27,BB26:BB27,BI26:BI27,CB26:CB27,CO26:CO27,DB26:DB27,DI26:DI27,EH26:EH27,EO26:EO27,EV26:EV27,FC26:FC27)</f>
        <v>82560775.5</v>
      </c>
      <c r="L27" s="40">
        <f>SUM(AE26:AE27,AM26:AM27,AU26:AU27)</f>
        <v>0</v>
      </c>
      <c r="M27" s="40">
        <f>SUM(I27:L27)</f>
        <v>284070950</v>
      </c>
      <c r="O27" s="85">
        <v>46568</v>
      </c>
      <c r="P27" s="85"/>
      <c r="Q27" s="85">
        <v>46553</v>
      </c>
      <c r="R27" s="40">
        <f t="shared" si="0"/>
        <v>36434934.099999994</v>
      </c>
      <c r="S27" s="40">
        <f t="shared" si="1"/>
        <v>45745750</v>
      </c>
      <c r="T27" s="40">
        <f t="shared" si="2"/>
        <v>43330065.899999999</v>
      </c>
      <c r="U27" s="40">
        <f t="shared" si="3"/>
        <v>0</v>
      </c>
      <c r="V27" s="40">
        <f t="shared" si="26"/>
        <v>125510750</v>
      </c>
      <c r="X27" s="85">
        <v>46553</v>
      </c>
      <c r="Y27" s="40"/>
      <c r="Z27" s="101"/>
      <c r="AA27" s="40"/>
      <c r="AB27" s="101"/>
      <c r="AC27" s="40">
        <f t="shared" si="27"/>
        <v>19862625</v>
      </c>
      <c r="AD27" s="40"/>
      <c r="AE27" s="40"/>
      <c r="AF27" s="40">
        <f t="shared" si="11"/>
        <v>19862625</v>
      </c>
      <c r="AH27" s="85">
        <v>46553</v>
      </c>
      <c r="AI27" s="40"/>
      <c r="AJ27" s="101"/>
      <c r="AK27" s="40"/>
      <c r="AL27" s="40"/>
      <c r="AM27" s="40"/>
      <c r="AN27" s="40">
        <f t="shared" si="4"/>
        <v>0</v>
      </c>
      <c r="AP27" s="85">
        <v>46553</v>
      </c>
      <c r="AQ27" s="40">
        <v>0</v>
      </c>
      <c r="AR27" s="101"/>
      <c r="AS27" s="40">
        <v>4750125</v>
      </c>
      <c r="AT27" s="40">
        <v>0</v>
      </c>
      <c r="AU27" s="40"/>
      <c r="AV27" s="40">
        <f t="shared" si="12"/>
        <v>4750125</v>
      </c>
      <c r="AX27" s="85">
        <v>46553</v>
      </c>
      <c r="AY27" s="40">
        <v>0</v>
      </c>
      <c r="BA27" s="40">
        <v>911875</v>
      </c>
      <c r="BB27" s="40">
        <v>0</v>
      </c>
      <c r="BC27" s="40">
        <f t="shared" si="13"/>
        <v>911875</v>
      </c>
      <c r="BE27" s="85">
        <v>46553</v>
      </c>
      <c r="BF27" s="40">
        <v>0</v>
      </c>
      <c r="BG27" s="40"/>
      <c r="BH27" s="40">
        <v>3425625</v>
      </c>
      <c r="BI27" s="40">
        <v>0</v>
      </c>
      <c r="BJ27" s="40">
        <f t="shared" si="14"/>
        <v>3425625</v>
      </c>
      <c r="BL27" s="85">
        <v>46553</v>
      </c>
      <c r="BM27" s="40">
        <v>0</v>
      </c>
      <c r="BN27" s="40"/>
      <c r="BO27" s="40">
        <v>1655375</v>
      </c>
      <c r="BP27" s="40">
        <f t="shared" si="15"/>
        <v>1655375</v>
      </c>
      <c r="BR27" s="85">
        <v>46553</v>
      </c>
      <c r="BS27" s="40">
        <v>0</v>
      </c>
      <c r="BT27" s="87">
        <v>0</v>
      </c>
      <c r="BU27" s="40">
        <f t="shared" si="5"/>
        <v>2426875</v>
      </c>
      <c r="BV27" s="40">
        <f t="shared" si="16"/>
        <v>2426875</v>
      </c>
      <c r="BX27" s="85">
        <v>46553</v>
      </c>
      <c r="BY27" s="40">
        <v>0</v>
      </c>
      <c r="BZ27" s="87">
        <v>0</v>
      </c>
      <c r="CA27" s="40">
        <v>11696437.5</v>
      </c>
      <c r="CB27" s="40">
        <v>0</v>
      </c>
      <c r="CC27" s="40">
        <f t="shared" si="6"/>
        <v>11696437.5</v>
      </c>
      <c r="CD27" s="67"/>
      <c r="CE27" s="85">
        <v>46553</v>
      </c>
      <c r="CG27" s="87"/>
      <c r="CJ27" s="67"/>
      <c r="CK27" s="85">
        <v>46553</v>
      </c>
      <c r="CL27" s="40">
        <v>24622709.199999999</v>
      </c>
      <c r="CM27" s="87">
        <v>5.8299999999999998E-2</v>
      </c>
      <c r="CN27" s="40"/>
      <c r="CO27" s="40">
        <v>39512290.799999997</v>
      </c>
      <c r="CP27" s="40">
        <f t="shared" si="17"/>
        <v>64135000</v>
      </c>
      <c r="CQ27" s="67"/>
      <c r="CR27" s="85">
        <v>46553</v>
      </c>
      <c r="CS27" s="40"/>
      <c r="CT27" s="87"/>
      <c r="CU27" s="40"/>
      <c r="CV27" s="40">
        <f t="shared" si="18"/>
        <v>0</v>
      </c>
      <c r="CW27" s="67"/>
      <c r="CX27" s="85">
        <v>46553</v>
      </c>
      <c r="CY27" s="40">
        <v>895376.89999999991</v>
      </c>
      <c r="CZ27" s="87"/>
      <c r="DA27" s="40">
        <v>60087.5</v>
      </c>
      <c r="DB27" s="40">
        <v>1194623.1000000001</v>
      </c>
      <c r="DC27" s="40">
        <f t="shared" si="19"/>
        <v>2150087.5</v>
      </c>
      <c r="DD27" s="40"/>
      <c r="DE27" s="85">
        <v>46553</v>
      </c>
      <c r="DG27" s="87"/>
      <c r="DJ27" s="40">
        <f t="shared" si="8"/>
        <v>0</v>
      </c>
      <c r="DK27" s="40"/>
      <c r="DL27" s="85">
        <v>46553</v>
      </c>
      <c r="DR27" s="85">
        <v>46553</v>
      </c>
      <c r="DS27" s="40">
        <v>10580000</v>
      </c>
      <c r="DT27" s="87">
        <v>5.5E-2</v>
      </c>
      <c r="DU27" s="40">
        <v>956725</v>
      </c>
      <c r="DV27" s="40">
        <f t="shared" si="20"/>
        <v>11536725</v>
      </c>
      <c r="DX27" s="85">
        <v>46553</v>
      </c>
      <c r="EB27" s="40">
        <f t="shared" si="21"/>
        <v>0</v>
      </c>
      <c r="ED27" s="85">
        <v>46553</v>
      </c>
      <c r="EI27" s="40">
        <f t="shared" si="22"/>
        <v>0</v>
      </c>
      <c r="EK27" s="85">
        <v>46553</v>
      </c>
      <c r="EL27" s="40">
        <v>336848</v>
      </c>
      <c r="EM27" s="87">
        <v>6.7000000000000004E-2</v>
      </c>
      <c r="EN27" s="40">
        <v>0</v>
      </c>
      <c r="EO27" s="40">
        <v>2623152</v>
      </c>
      <c r="EP27" s="40">
        <f t="shared" si="23"/>
        <v>2960000</v>
      </c>
      <c r="ER27" s="85">
        <v>46553</v>
      </c>
      <c r="EW27" s="40">
        <f t="shared" si="24"/>
        <v>0</v>
      </c>
      <c r="EY27" s="85">
        <v>46553</v>
      </c>
      <c r="FD27" s="40">
        <f t="shared" si="25"/>
        <v>0</v>
      </c>
    </row>
    <row r="28" spans="1:160" x14ac:dyDescent="0.4">
      <c r="A28" s="118">
        <f t="shared" si="28"/>
        <v>49475</v>
      </c>
      <c r="B28" s="85">
        <v>49490</v>
      </c>
      <c r="C28" s="86">
        <f t="shared" si="9"/>
        <v>342079877.5</v>
      </c>
      <c r="D28" s="40">
        <f t="shared" si="10"/>
        <v>0</v>
      </c>
      <c r="F28" s="85">
        <v>46752</v>
      </c>
      <c r="G28" s="85"/>
      <c r="H28" s="85">
        <v>46736</v>
      </c>
      <c r="I28" s="40"/>
      <c r="O28" s="85">
        <v>46752</v>
      </c>
      <c r="P28" s="85"/>
      <c r="Q28" s="85">
        <v>46736</v>
      </c>
      <c r="R28" s="40">
        <f t="shared" si="0"/>
        <v>112070000</v>
      </c>
      <c r="S28" s="40">
        <f t="shared" si="1"/>
        <v>45394712.5</v>
      </c>
      <c r="T28" s="40">
        <f t="shared" si="2"/>
        <v>0</v>
      </c>
      <c r="U28" s="40">
        <f t="shared" si="3"/>
        <v>0</v>
      </c>
      <c r="V28" s="40">
        <f t="shared" si="26"/>
        <v>157464712.5</v>
      </c>
      <c r="X28" s="85">
        <v>46736</v>
      </c>
      <c r="Y28" s="40"/>
      <c r="Z28" s="101"/>
      <c r="AA28" s="40"/>
      <c r="AB28" s="101"/>
      <c r="AC28" s="40">
        <f t="shared" si="27"/>
        <v>19862625</v>
      </c>
      <c r="AD28" s="40"/>
      <c r="AE28" s="40"/>
      <c r="AF28" s="40">
        <f t="shared" si="11"/>
        <v>19862625</v>
      </c>
      <c r="AH28" s="85">
        <v>46736</v>
      </c>
      <c r="AI28" s="40"/>
      <c r="AJ28" s="101"/>
      <c r="AK28" s="40"/>
      <c r="AL28" s="40"/>
      <c r="AM28" s="40"/>
      <c r="AN28" s="40">
        <f t="shared" si="4"/>
        <v>0</v>
      </c>
      <c r="AP28" s="85">
        <v>46736</v>
      </c>
      <c r="AQ28" s="40">
        <v>0</v>
      </c>
      <c r="AR28" s="101"/>
      <c r="AS28" s="40">
        <v>4750125</v>
      </c>
      <c r="AT28" s="40">
        <v>0</v>
      </c>
      <c r="AU28" s="40"/>
      <c r="AV28" s="40">
        <f t="shared" si="12"/>
        <v>4750125</v>
      </c>
      <c r="AX28" s="85">
        <v>46736</v>
      </c>
      <c r="AY28" s="40">
        <v>1880000</v>
      </c>
      <c r="AZ28" s="101">
        <v>0.05</v>
      </c>
      <c r="BA28" s="40">
        <v>911875</v>
      </c>
      <c r="BB28" s="40">
        <v>0</v>
      </c>
      <c r="BC28" s="40">
        <f t="shared" si="13"/>
        <v>2791875</v>
      </c>
      <c r="BE28" s="85">
        <v>46736</v>
      </c>
      <c r="BF28" s="40">
        <v>0</v>
      </c>
      <c r="BG28" s="40"/>
      <c r="BH28" s="40">
        <v>3425625</v>
      </c>
      <c r="BI28" s="40">
        <v>0</v>
      </c>
      <c r="BJ28" s="40">
        <f t="shared" si="14"/>
        <v>3425625</v>
      </c>
      <c r="BL28" s="85">
        <v>46736</v>
      </c>
      <c r="BM28" s="40">
        <v>0</v>
      </c>
      <c r="BN28" s="40"/>
      <c r="BO28" s="40">
        <v>1655375</v>
      </c>
      <c r="BP28" s="40">
        <f t="shared" si="15"/>
        <v>1655375</v>
      </c>
      <c r="BR28" s="85">
        <v>46736</v>
      </c>
      <c r="BS28" s="40">
        <v>0</v>
      </c>
      <c r="BT28" s="87">
        <v>0</v>
      </c>
      <c r="BU28" s="40">
        <f t="shared" si="5"/>
        <v>2426875</v>
      </c>
      <c r="BV28" s="40">
        <f t="shared" si="16"/>
        <v>2426875</v>
      </c>
      <c r="BX28" s="85">
        <v>46736</v>
      </c>
      <c r="BY28" s="40">
        <v>104355000</v>
      </c>
      <c r="BZ28" s="87">
        <v>0.05</v>
      </c>
      <c r="CA28" s="40">
        <v>11696437.5</v>
      </c>
      <c r="CB28" s="40">
        <v>0</v>
      </c>
      <c r="CC28" s="40">
        <f t="shared" si="6"/>
        <v>116051437.5</v>
      </c>
      <c r="CD28" s="67"/>
      <c r="CE28" s="85">
        <v>46736</v>
      </c>
      <c r="CG28" s="87"/>
      <c r="CJ28" s="67"/>
      <c r="CK28" s="85">
        <v>46736</v>
      </c>
      <c r="CL28" s="40"/>
      <c r="CM28" s="87"/>
      <c r="CN28" s="40"/>
      <c r="CO28" s="40">
        <v>0</v>
      </c>
      <c r="CP28" s="40">
        <f t="shared" si="17"/>
        <v>0</v>
      </c>
      <c r="CQ28" s="67"/>
      <c r="CR28" s="85">
        <v>46736</v>
      </c>
      <c r="CS28" s="40"/>
      <c r="CT28" s="87"/>
      <c r="CU28" s="40"/>
      <c r="CV28" s="40">
        <f t="shared" si="18"/>
        <v>0</v>
      </c>
      <c r="CW28" s="67"/>
      <c r="CX28" s="85">
        <v>46736</v>
      </c>
      <c r="CY28" s="40"/>
      <c r="CZ28" s="87"/>
      <c r="DA28" s="40">
        <v>0</v>
      </c>
      <c r="DB28" s="40">
        <v>0</v>
      </c>
      <c r="DC28" s="40">
        <f t="shared" si="19"/>
        <v>0</v>
      </c>
      <c r="DD28" s="40"/>
      <c r="DE28" s="85">
        <v>46736</v>
      </c>
      <c r="DG28" s="87"/>
      <c r="DJ28" s="40">
        <f t="shared" si="8"/>
        <v>0</v>
      </c>
      <c r="DK28" s="40"/>
      <c r="DL28" s="85">
        <v>46736</v>
      </c>
      <c r="DR28" s="85">
        <v>46736</v>
      </c>
      <c r="DS28" s="40">
        <v>5835000</v>
      </c>
      <c r="DT28" s="87">
        <v>5.5E-2</v>
      </c>
      <c r="DU28" s="40">
        <v>665775</v>
      </c>
      <c r="DV28" s="40">
        <f t="shared" si="20"/>
        <v>6500775</v>
      </c>
      <c r="DX28" s="85">
        <v>46736</v>
      </c>
      <c r="EB28" s="40">
        <f t="shared" si="21"/>
        <v>0</v>
      </c>
      <c r="ED28" s="85">
        <v>46736</v>
      </c>
      <c r="EI28" s="40">
        <f t="shared" si="22"/>
        <v>0</v>
      </c>
      <c r="EK28" s="85">
        <v>46736</v>
      </c>
      <c r="EL28" s="40"/>
      <c r="EM28" s="87">
        <v>0</v>
      </c>
      <c r="EN28" s="40">
        <v>0</v>
      </c>
      <c r="EO28" s="40">
        <v>0</v>
      </c>
      <c r="EP28" s="40">
        <f t="shared" si="23"/>
        <v>0</v>
      </c>
      <c r="ER28" s="85">
        <v>46736</v>
      </c>
      <c r="EW28" s="40">
        <f t="shared" si="24"/>
        <v>0</v>
      </c>
      <c r="EY28" s="85">
        <v>46736</v>
      </c>
      <c r="FD28" s="40">
        <f t="shared" si="25"/>
        <v>0</v>
      </c>
    </row>
    <row r="29" spans="1:160" x14ac:dyDescent="0.4">
      <c r="A29" s="118">
        <f t="shared" si="28"/>
        <v>49841</v>
      </c>
      <c r="B29" s="85">
        <v>49856</v>
      </c>
      <c r="C29" s="86">
        <f t="shared" si="9"/>
        <v>342072335</v>
      </c>
      <c r="D29" s="40">
        <f t="shared" si="10"/>
        <v>0</v>
      </c>
      <c r="F29" s="85">
        <v>46934</v>
      </c>
      <c r="G29" s="85"/>
      <c r="H29" s="85">
        <v>46919</v>
      </c>
      <c r="I29" s="40">
        <f>SUM(Y28:Y29,AA28:AA29,AI28:AI29,AQ28:AQ29,AY28:AY29,BF28:BF29,BM28:BM29,BS28:BS29,BY28:BY29,CF28:CF29,CL28:CL29,CS28:CS29,CY28:CY29,DF28:DF29,DM28:DM29,DS28:DS29,DY28:DY29,EE28:EE29,EL28:EL29,ES28:ES29,EZ28:EZ29)</f>
        <v>127972687.3</v>
      </c>
      <c r="J29" s="40">
        <f>SUM(AC28:AC29,AK28:AK29,AS28:AS29,BA28:BA29,BH28:BH29,BO28:BO29,BU28:BU29,CA28:CA29,CH28:CH29,CN28:CN29,CU28:CU29,DA28:DA29,DH28:DH29,DO28:DO29,DU28:DU29,EA28:EA29,EG28:EG29,EN28:EN29,EU28:EU29,FB28:FB29)</f>
        <v>87973087.5</v>
      </c>
      <c r="K29" s="40">
        <f>SUM(AD28:AD29,AL28:AL29,AT28:AT29,BB28:BB29,BI28:BI29,CB28:CB29,CO28:CO29,DB28:DB29,DI28:DI29,EH28:EH29,EO28:EO29,EV28:EV29,FC28:FC29)</f>
        <v>83087312.700000003</v>
      </c>
      <c r="L29" s="40">
        <f>SUM(AE28:AE29,AM28:AM29,AU28:AU29)</f>
        <v>0</v>
      </c>
      <c r="M29" s="40">
        <f>SUM(I29:L29)</f>
        <v>299033087.5</v>
      </c>
      <c r="O29" s="85">
        <v>46934</v>
      </c>
      <c r="P29" s="85"/>
      <c r="Q29" s="85">
        <v>46919</v>
      </c>
      <c r="R29" s="40">
        <f t="shared" si="0"/>
        <v>15902687.300000001</v>
      </c>
      <c r="S29" s="40">
        <f t="shared" si="1"/>
        <v>42578375</v>
      </c>
      <c r="T29" s="40">
        <f t="shared" si="2"/>
        <v>83087312.700000003</v>
      </c>
      <c r="U29" s="40">
        <f t="shared" si="3"/>
        <v>0</v>
      </c>
      <c r="V29" s="40">
        <f t="shared" si="26"/>
        <v>141568375</v>
      </c>
      <c r="X29" s="85">
        <v>46919</v>
      </c>
      <c r="Y29" s="40"/>
      <c r="Z29" s="101"/>
      <c r="AA29" s="40"/>
      <c r="AB29" s="101"/>
      <c r="AC29" s="40">
        <f t="shared" si="27"/>
        <v>19862625</v>
      </c>
      <c r="AD29" s="40"/>
      <c r="AE29" s="40"/>
      <c r="AF29" s="40">
        <f t="shared" si="11"/>
        <v>19862625</v>
      </c>
      <c r="AH29" s="85">
        <v>46919</v>
      </c>
      <c r="AI29" s="40"/>
      <c r="AJ29" s="101"/>
      <c r="AK29" s="40"/>
      <c r="AL29" s="40"/>
      <c r="AM29" s="40"/>
      <c r="AN29" s="40">
        <f t="shared" si="4"/>
        <v>0</v>
      </c>
      <c r="AP29" s="85">
        <v>46919</v>
      </c>
      <c r="AQ29" s="40">
        <v>0</v>
      </c>
      <c r="AR29" s="101"/>
      <c r="AS29" s="40">
        <v>4750125</v>
      </c>
      <c r="AT29" s="40">
        <v>0</v>
      </c>
      <c r="AU29" s="40"/>
      <c r="AV29" s="40">
        <f t="shared" si="12"/>
        <v>4750125</v>
      </c>
      <c r="AX29" s="85">
        <v>46919</v>
      </c>
      <c r="AY29" s="40">
        <v>0</v>
      </c>
      <c r="BA29" s="40">
        <v>864875</v>
      </c>
      <c r="BB29" s="40">
        <v>0</v>
      </c>
      <c r="BC29" s="40">
        <f t="shared" si="13"/>
        <v>864875</v>
      </c>
      <c r="BE29" s="85">
        <v>46919</v>
      </c>
      <c r="BF29" s="40">
        <v>0</v>
      </c>
      <c r="BG29" s="40"/>
      <c r="BH29" s="40">
        <v>3425625</v>
      </c>
      <c r="BI29" s="40">
        <v>0</v>
      </c>
      <c r="BJ29" s="40">
        <f t="shared" si="14"/>
        <v>3425625</v>
      </c>
      <c r="BL29" s="85">
        <v>46919</v>
      </c>
      <c r="BM29" s="40">
        <v>0</v>
      </c>
      <c r="BN29" s="40"/>
      <c r="BO29" s="40">
        <v>1655375</v>
      </c>
      <c r="BP29" s="40">
        <f t="shared" si="15"/>
        <v>1655375</v>
      </c>
      <c r="BR29" s="85">
        <v>46919</v>
      </c>
      <c r="BS29" s="40">
        <v>0</v>
      </c>
      <c r="BT29" s="87">
        <v>0</v>
      </c>
      <c r="BU29" s="40">
        <f t="shared" si="5"/>
        <v>2426875</v>
      </c>
      <c r="BV29" s="40">
        <f t="shared" si="16"/>
        <v>2426875</v>
      </c>
      <c r="BX29" s="85">
        <v>46919</v>
      </c>
      <c r="BY29" s="40">
        <v>0</v>
      </c>
      <c r="BZ29" s="87">
        <v>0</v>
      </c>
      <c r="CA29" s="40">
        <v>9087562.5</v>
      </c>
      <c r="CB29" s="40">
        <v>0</v>
      </c>
      <c r="CC29" s="40">
        <f t="shared" si="6"/>
        <v>9087562.5</v>
      </c>
      <c r="CD29" s="67"/>
      <c r="CE29" s="85">
        <v>46919</v>
      </c>
      <c r="CG29" s="87"/>
      <c r="CJ29" s="67"/>
      <c r="CK29" s="85">
        <v>46919</v>
      </c>
      <c r="CL29" s="40"/>
      <c r="CM29" s="87"/>
      <c r="CN29" s="40"/>
      <c r="CO29" s="40">
        <v>0</v>
      </c>
      <c r="CP29" s="40">
        <f t="shared" si="17"/>
        <v>0</v>
      </c>
      <c r="CQ29" s="67"/>
      <c r="CR29" s="85">
        <v>46919</v>
      </c>
      <c r="CS29" s="40"/>
      <c r="CT29" s="87"/>
      <c r="CU29" s="40"/>
      <c r="CV29" s="40">
        <f t="shared" si="18"/>
        <v>0</v>
      </c>
      <c r="CW29" s="67"/>
      <c r="CX29" s="85">
        <v>46919</v>
      </c>
      <c r="CY29" s="40"/>
      <c r="CZ29" s="87"/>
      <c r="DA29" s="40">
        <v>0</v>
      </c>
      <c r="DB29" s="40">
        <v>0</v>
      </c>
      <c r="DC29" s="40">
        <f t="shared" si="19"/>
        <v>0</v>
      </c>
      <c r="DD29" s="40"/>
      <c r="DE29" s="85">
        <v>46919</v>
      </c>
      <c r="DG29" s="87"/>
      <c r="DJ29" s="40">
        <f t="shared" si="8"/>
        <v>0</v>
      </c>
      <c r="DK29" s="40"/>
      <c r="DL29" s="85">
        <v>46919</v>
      </c>
      <c r="DR29" s="85">
        <v>46919</v>
      </c>
      <c r="DS29" s="40">
        <v>5995000</v>
      </c>
      <c r="DT29" s="87">
        <v>5.5E-2</v>
      </c>
      <c r="DU29" s="40">
        <v>505312.5</v>
      </c>
      <c r="DV29" s="40">
        <f t="shared" si="20"/>
        <v>6500312.5</v>
      </c>
      <c r="DX29" s="85">
        <v>46919</v>
      </c>
      <c r="EB29" s="40">
        <f t="shared" si="21"/>
        <v>0</v>
      </c>
      <c r="ED29" s="85">
        <v>46919</v>
      </c>
      <c r="EI29" s="40">
        <f t="shared" si="22"/>
        <v>0</v>
      </c>
      <c r="EK29" s="85">
        <v>46919</v>
      </c>
      <c r="EL29" s="40">
        <v>9907687.3000000007</v>
      </c>
      <c r="EM29" s="87">
        <v>6.7000000000000004E-2</v>
      </c>
      <c r="EN29" s="40">
        <v>0</v>
      </c>
      <c r="EO29" s="40">
        <v>83087312.700000003</v>
      </c>
      <c r="EP29" s="40">
        <f t="shared" si="23"/>
        <v>92995000</v>
      </c>
      <c r="ER29" s="85">
        <v>46919</v>
      </c>
      <c r="EW29" s="40">
        <f t="shared" si="24"/>
        <v>0</v>
      </c>
      <c r="EY29" s="85">
        <v>46919</v>
      </c>
      <c r="FD29" s="40">
        <f t="shared" si="25"/>
        <v>0</v>
      </c>
    </row>
    <row r="30" spans="1:160" x14ac:dyDescent="0.4">
      <c r="A30" s="118">
        <f t="shared" si="28"/>
        <v>50206</v>
      </c>
      <c r="B30" s="85">
        <v>50221</v>
      </c>
      <c r="C30" s="86">
        <f t="shared" si="9"/>
        <v>342076747.5</v>
      </c>
      <c r="D30" s="40">
        <f t="shared" si="10"/>
        <v>0</v>
      </c>
      <c r="F30" s="85">
        <v>47118</v>
      </c>
      <c r="G30" s="85"/>
      <c r="H30" s="85">
        <v>47102</v>
      </c>
      <c r="I30" s="40"/>
      <c r="O30" s="85">
        <v>47118</v>
      </c>
      <c r="P30" s="85"/>
      <c r="Q30" s="85">
        <v>47102</v>
      </c>
      <c r="R30" s="40">
        <f t="shared" si="0"/>
        <v>133380000</v>
      </c>
      <c r="S30" s="40">
        <f t="shared" si="1"/>
        <v>42413512.5</v>
      </c>
      <c r="T30" s="40">
        <f t="shared" si="2"/>
        <v>0</v>
      </c>
      <c r="U30" s="40">
        <f t="shared" si="3"/>
        <v>0</v>
      </c>
      <c r="V30" s="40">
        <f t="shared" si="26"/>
        <v>175793512.5</v>
      </c>
      <c r="X30" s="85">
        <v>47102</v>
      </c>
      <c r="Y30" s="40"/>
      <c r="Z30" s="101"/>
      <c r="AA30" s="40"/>
      <c r="AB30" s="101"/>
      <c r="AC30" s="40">
        <f t="shared" si="27"/>
        <v>19862625</v>
      </c>
      <c r="AD30" s="40"/>
      <c r="AE30" s="40"/>
      <c r="AF30" s="40">
        <f t="shared" si="11"/>
        <v>19862625</v>
      </c>
      <c r="AH30" s="85">
        <v>47102</v>
      </c>
      <c r="AI30" s="40"/>
      <c r="AJ30" s="101"/>
      <c r="AK30" s="40"/>
      <c r="AL30" s="40"/>
      <c r="AM30" s="40"/>
      <c r="AN30" s="40">
        <f t="shared" si="4"/>
        <v>0</v>
      </c>
      <c r="AP30" s="85">
        <v>47102</v>
      </c>
      <c r="AQ30" s="40">
        <v>0</v>
      </c>
      <c r="AR30" s="101"/>
      <c r="AS30" s="40">
        <v>4750125</v>
      </c>
      <c r="AT30" s="40">
        <v>0</v>
      </c>
      <c r="AU30" s="40"/>
      <c r="AV30" s="40">
        <f t="shared" si="12"/>
        <v>4750125</v>
      </c>
      <c r="AX30" s="85">
        <v>47102</v>
      </c>
      <c r="AY30" s="40">
        <v>17520000</v>
      </c>
      <c r="AZ30" s="101">
        <v>0.05</v>
      </c>
      <c r="BA30" s="40">
        <v>864875</v>
      </c>
      <c r="BB30" s="40">
        <v>0</v>
      </c>
      <c r="BC30" s="40">
        <f t="shared" si="13"/>
        <v>18384875</v>
      </c>
      <c r="BE30" s="85">
        <v>47102</v>
      </c>
      <c r="BF30" s="40">
        <v>0</v>
      </c>
      <c r="BG30" s="40"/>
      <c r="BH30" s="40">
        <v>3425625</v>
      </c>
      <c r="BI30" s="40">
        <v>0</v>
      </c>
      <c r="BJ30" s="40">
        <f t="shared" si="14"/>
        <v>3425625</v>
      </c>
      <c r="BL30" s="85">
        <v>47102</v>
      </c>
      <c r="BM30" s="40">
        <v>0</v>
      </c>
      <c r="BN30" s="40"/>
      <c r="BO30" s="40">
        <v>1655375</v>
      </c>
      <c r="BP30" s="40">
        <f t="shared" si="15"/>
        <v>1655375</v>
      </c>
      <c r="BR30" s="85">
        <v>47102</v>
      </c>
      <c r="BS30" s="40">
        <v>0</v>
      </c>
      <c r="BT30" s="87">
        <v>0</v>
      </c>
      <c r="BU30" s="40">
        <f t="shared" si="5"/>
        <v>2426875</v>
      </c>
      <c r="BV30" s="40">
        <f t="shared" si="16"/>
        <v>2426875</v>
      </c>
      <c r="BX30" s="85">
        <v>47102</v>
      </c>
      <c r="BY30" s="40">
        <v>109700000</v>
      </c>
      <c r="BZ30" s="87">
        <v>0.05</v>
      </c>
      <c r="CA30" s="40">
        <v>9087562.5</v>
      </c>
      <c r="CB30" s="40">
        <v>0</v>
      </c>
      <c r="CC30" s="40">
        <f t="shared" si="6"/>
        <v>118787562.5</v>
      </c>
      <c r="CD30" s="67"/>
      <c r="CE30" s="85">
        <v>47102</v>
      </c>
      <c r="CG30" s="87"/>
      <c r="CJ30" s="67"/>
      <c r="CK30" s="85">
        <v>47102</v>
      </c>
      <c r="CL30" s="40"/>
      <c r="CM30" s="87"/>
      <c r="CN30" s="40"/>
      <c r="CO30" s="40">
        <v>0</v>
      </c>
      <c r="CP30" s="40">
        <f t="shared" si="17"/>
        <v>0</v>
      </c>
      <c r="CQ30" s="67"/>
      <c r="CR30" s="85">
        <v>47102</v>
      </c>
      <c r="CS30" s="40"/>
      <c r="CT30" s="87"/>
      <c r="CU30" s="40"/>
      <c r="CV30" s="40">
        <f t="shared" si="18"/>
        <v>0</v>
      </c>
      <c r="CW30" s="67"/>
      <c r="CX30" s="85">
        <v>47102</v>
      </c>
      <c r="CY30" s="40"/>
      <c r="CZ30" s="87"/>
      <c r="DA30" s="40">
        <v>0</v>
      </c>
      <c r="DB30" s="40">
        <v>0</v>
      </c>
      <c r="DC30" s="40">
        <f t="shared" si="19"/>
        <v>0</v>
      </c>
      <c r="DD30" s="40"/>
      <c r="DE30" s="85">
        <v>47102</v>
      </c>
      <c r="DG30" s="87"/>
      <c r="DJ30" s="40">
        <f t="shared" si="8"/>
        <v>0</v>
      </c>
      <c r="DK30" s="40"/>
      <c r="DL30" s="85">
        <v>47102</v>
      </c>
      <c r="DR30" s="85">
        <v>47102</v>
      </c>
      <c r="DS30" s="40">
        <v>6160000</v>
      </c>
      <c r="DT30" s="87">
        <v>5.5E-2</v>
      </c>
      <c r="DU30" s="40">
        <v>340450</v>
      </c>
      <c r="DV30" s="40">
        <f t="shared" si="20"/>
        <v>6500450</v>
      </c>
      <c r="DX30" s="85">
        <v>47102</v>
      </c>
      <c r="EB30" s="40">
        <f t="shared" si="21"/>
        <v>0</v>
      </c>
      <c r="ED30" s="85">
        <v>47102</v>
      </c>
      <c r="EI30" s="40">
        <f t="shared" si="22"/>
        <v>0</v>
      </c>
      <c r="EK30" s="85">
        <v>47102</v>
      </c>
      <c r="EL30" s="40"/>
      <c r="EM30" s="87">
        <v>0</v>
      </c>
      <c r="EN30" s="40">
        <v>0</v>
      </c>
      <c r="EO30" s="40">
        <v>0</v>
      </c>
      <c r="EP30" s="40">
        <f t="shared" si="23"/>
        <v>0</v>
      </c>
      <c r="ER30" s="85">
        <v>47102</v>
      </c>
      <c r="EW30" s="40">
        <f t="shared" si="24"/>
        <v>0</v>
      </c>
      <c r="EY30" s="85">
        <v>47102</v>
      </c>
      <c r="FD30" s="40">
        <f t="shared" si="25"/>
        <v>0</v>
      </c>
    </row>
    <row r="31" spans="1:160" x14ac:dyDescent="0.4">
      <c r="A31" s="118">
        <f t="shared" si="28"/>
        <v>50571</v>
      </c>
      <c r="B31" s="85">
        <v>50586</v>
      </c>
      <c r="C31" s="86">
        <f t="shared" si="9"/>
        <v>342072905</v>
      </c>
      <c r="D31" s="40">
        <f t="shared" si="10"/>
        <v>0</v>
      </c>
      <c r="F31" s="85">
        <v>47299</v>
      </c>
      <c r="G31" s="85"/>
      <c r="H31" s="85">
        <v>47284</v>
      </c>
      <c r="I31" s="40">
        <f>SUM(Y30:Y31,AA30:AA31,AI30:AI31,AQ30:AQ31,AY30:AY31,BF30:BF31,BM30:BM31,BS30:BS31,BY30:BY31,CF30:CF31,CL30:CL31,CS30:CS31,CY30:CY31,DF30:DF31,DM30:DM31,DS30:DS31,DY30:DY31,EE30:EE31,EL30:EL31,ES30:ES31,EZ30:EZ31)</f>
        <v>148875321.30000001</v>
      </c>
      <c r="J31" s="40">
        <f>SUM(AC30:AC31,AK30:AK31,AS30:AS31,BA30:BA31,BH30:BH31,BO30:BO31,BU30:BU31,CA30:CA31,CH30:CH31,CN30:CN31,CU30:CU31,DA30:DA31,DH30:DH31,DO30:DO31,DU30:DU31,EA30:EA31,EG30:EG31,EN30:EN31,EU30:EU31,FB30:FB31)</f>
        <v>81477125</v>
      </c>
      <c r="K31" s="40">
        <f>SUM(AD30:AD31,AL30:AL31,AT30:AT31,BB30:BB31,BI30:BI31,CB30:CB31,CO30:CO31,DB30:DB31,DI30:DI31,EH30:EH31,EO30:EO31,EV30:EV31,FC30:FC31)</f>
        <v>83719678.700000003</v>
      </c>
      <c r="L31" s="40">
        <f>SUM(AE30:AE31,AM30:AM31,AU30:AU31)</f>
        <v>0</v>
      </c>
      <c r="M31" s="40">
        <f>SUM(I31:L31)</f>
        <v>314072125</v>
      </c>
      <c r="O31" s="85">
        <v>47299</v>
      </c>
      <c r="P31" s="85"/>
      <c r="Q31" s="85">
        <v>47284</v>
      </c>
      <c r="R31" s="40">
        <f t="shared" si="0"/>
        <v>15495321.300000001</v>
      </c>
      <c r="S31" s="40">
        <f t="shared" si="1"/>
        <v>39063612.5</v>
      </c>
      <c r="T31" s="40">
        <f t="shared" si="2"/>
        <v>83719678.700000003</v>
      </c>
      <c r="U31" s="40">
        <f t="shared" si="3"/>
        <v>0</v>
      </c>
      <c r="V31" s="40">
        <f t="shared" si="26"/>
        <v>138278612.5</v>
      </c>
      <c r="X31" s="85">
        <v>47284</v>
      </c>
      <c r="Y31" s="40"/>
      <c r="Z31" s="101"/>
      <c r="AA31" s="40"/>
      <c r="AB31" s="101"/>
      <c r="AC31" s="40">
        <f t="shared" si="27"/>
        <v>19862625</v>
      </c>
      <c r="AD31" s="40"/>
      <c r="AE31" s="40"/>
      <c r="AF31" s="40">
        <f t="shared" si="11"/>
        <v>19862625</v>
      </c>
      <c r="AH31" s="85">
        <v>47284</v>
      </c>
      <c r="AI31" s="40"/>
      <c r="AJ31" s="101"/>
      <c r="AK31" s="40"/>
      <c r="AL31" s="40"/>
      <c r="AM31" s="40"/>
      <c r="AN31" s="40">
        <f t="shared" si="4"/>
        <v>0</v>
      </c>
      <c r="AP31" s="85">
        <v>47284</v>
      </c>
      <c r="AQ31" s="40">
        <v>0</v>
      </c>
      <c r="AR31" s="101"/>
      <c r="AS31" s="40">
        <v>4750125</v>
      </c>
      <c r="AT31" s="40">
        <v>0</v>
      </c>
      <c r="AU31" s="40"/>
      <c r="AV31" s="40">
        <f t="shared" si="12"/>
        <v>4750125</v>
      </c>
      <c r="AX31" s="85">
        <v>47284</v>
      </c>
      <c r="AY31" s="40">
        <v>0</v>
      </c>
      <c r="BA31" s="40">
        <v>426875</v>
      </c>
      <c r="BB31" s="40">
        <v>0</v>
      </c>
      <c r="BC31" s="40">
        <f t="shared" si="13"/>
        <v>426875</v>
      </c>
      <c r="BE31" s="85">
        <v>47284</v>
      </c>
      <c r="BF31" s="40">
        <v>0</v>
      </c>
      <c r="BG31" s="40"/>
      <c r="BH31" s="40">
        <v>3425625</v>
      </c>
      <c r="BI31" s="40">
        <v>0</v>
      </c>
      <c r="BJ31" s="40">
        <f t="shared" si="14"/>
        <v>3425625</v>
      </c>
      <c r="BL31" s="85">
        <v>47284</v>
      </c>
      <c r="BM31" s="40">
        <v>0</v>
      </c>
      <c r="BN31" s="40"/>
      <c r="BO31" s="40">
        <v>1655375</v>
      </c>
      <c r="BP31" s="40">
        <f t="shared" si="15"/>
        <v>1655375</v>
      </c>
      <c r="BR31" s="85">
        <v>47284</v>
      </c>
      <c r="BS31" s="40">
        <v>0</v>
      </c>
      <c r="BT31" s="87">
        <v>0</v>
      </c>
      <c r="BU31" s="40">
        <f t="shared" si="5"/>
        <v>2426875</v>
      </c>
      <c r="BV31" s="40">
        <f t="shared" si="16"/>
        <v>2426875</v>
      </c>
      <c r="BX31" s="85">
        <v>47284</v>
      </c>
      <c r="BY31" s="40">
        <v>0</v>
      </c>
      <c r="BZ31" s="87">
        <v>0</v>
      </c>
      <c r="CA31" s="40">
        <v>6345062.5</v>
      </c>
      <c r="CB31" s="40">
        <v>0</v>
      </c>
      <c r="CC31" s="40">
        <f t="shared" si="6"/>
        <v>6345062.5</v>
      </c>
      <c r="CD31" s="67"/>
      <c r="CE31" s="85">
        <v>47284</v>
      </c>
      <c r="CG31" s="87"/>
      <c r="CJ31" s="67"/>
      <c r="CK31" s="85">
        <v>47284</v>
      </c>
      <c r="CL31" s="40"/>
      <c r="CM31" s="87"/>
      <c r="CN31" s="40"/>
      <c r="CO31" s="40">
        <v>0</v>
      </c>
      <c r="CP31" s="40">
        <f t="shared" si="17"/>
        <v>0</v>
      </c>
      <c r="CQ31" s="67"/>
      <c r="CR31" s="85">
        <v>47284</v>
      </c>
      <c r="CS31" s="40"/>
      <c r="CT31" s="87"/>
      <c r="CU31" s="40"/>
      <c r="CV31" s="40">
        <f t="shared" si="18"/>
        <v>0</v>
      </c>
      <c r="CW31" s="67"/>
      <c r="CX31" s="85">
        <v>47284</v>
      </c>
      <c r="CY31" s="40"/>
      <c r="CZ31" s="87"/>
      <c r="DA31" s="40">
        <v>0</v>
      </c>
      <c r="DB31" s="40">
        <v>0</v>
      </c>
      <c r="DC31" s="40">
        <f t="shared" si="19"/>
        <v>0</v>
      </c>
      <c r="DD31" s="40"/>
      <c r="DE31" s="85">
        <v>47284</v>
      </c>
      <c r="DG31" s="87"/>
      <c r="DJ31" s="40">
        <f t="shared" si="8"/>
        <v>0</v>
      </c>
      <c r="DK31" s="40"/>
      <c r="DL31" s="85">
        <v>47284</v>
      </c>
      <c r="DR31" s="85">
        <v>47284</v>
      </c>
      <c r="DS31" s="40">
        <v>6220000</v>
      </c>
      <c r="DT31" s="87">
        <v>5.5E-2</v>
      </c>
      <c r="DU31" s="40">
        <v>171050</v>
      </c>
      <c r="DV31" s="40">
        <f t="shared" si="20"/>
        <v>6391050</v>
      </c>
      <c r="DX31" s="85">
        <v>47284</v>
      </c>
      <c r="EB31" s="40">
        <f t="shared" si="21"/>
        <v>0</v>
      </c>
      <c r="ED31" s="85">
        <v>47284</v>
      </c>
      <c r="EI31" s="40">
        <f t="shared" si="22"/>
        <v>0</v>
      </c>
      <c r="EK31" s="85">
        <v>47284</v>
      </c>
      <c r="EL31" s="40">
        <v>9275321.3000000007</v>
      </c>
      <c r="EM31" s="87">
        <v>6.7000000000000004E-2</v>
      </c>
      <c r="EN31" s="40">
        <v>0</v>
      </c>
      <c r="EO31" s="40">
        <v>83719678.700000003</v>
      </c>
      <c r="EP31" s="40">
        <f t="shared" si="23"/>
        <v>92995000</v>
      </c>
      <c r="ER31" s="85">
        <v>47284</v>
      </c>
      <c r="EW31" s="40">
        <f t="shared" si="24"/>
        <v>0</v>
      </c>
      <c r="EY31" s="85">
        <v>47284</v>
      </c>
      <c r="FD31" s="40">
        <f t="shared" si="25"/>
        <v>0</v>
      </c>
    </row>
    <row r="32" spans="1:160" x14ac:dyDescent="0.4">
      <c r="A32" s="118">
        <f t="shared" si="28"/>
        <v>50936</v>
      </c>
      <c r="B32" s="85">
        <v>50951</v>
      </c>
      <c r="C32" s="86">
        <f t="shared" si="9"/>
        <v>342077218.75</v>
      </c>
      <c r="D32" s="40">
        <f t="shared" si="10"/>
        <v>0</v>
      </c>
      <c r="F32" s="85">
        <v>47483</v>
      </c>
      <c r="G32" s="85"/>
      <c r="H32" s="85">
        <v>47467</v>
      </c>
      <c r="I32" s="40"/>
      <c r="O32" s="85">
        <v>47483</v>
      </c>
      <c r="P32" s="85"/>
      <c r="Q32" s="85">
        <v>47467</v>
      </c>
      <c r="R32" s="40">
        <f t="shared" si="0"/>
        <v>6595539.0499999998</v>
      </c>
      <c r="S32" s="40">
        <f t="shared" si="1"/>
        <v>38892562.5</v>
      </c>
      <c r="T32" s="40">
        <f t="shared" si="2"/>
        <v>155099460.94999999</v>
      </c>
      <c r="U32" s="40">
        <f t="shared" si="3"/>
        <v>0</v>
      </c>
      <c r="V32" s="40">
        <f t="shared" si="26"/>
        <v>200587562.5</v>
      </c>
      <c r="X32" s="85">
        <v>47467</v>
      </c>
      <c r="Y32" s="40"/>
      <c r="Z32" s="101"/>
      <c r="AA32" s="40"/>
      <c r="AB32" s="101"/>
      <c r="AC32" s="40">
        <f t="shared" si="27"/>
        <v>19862625</v>
      </c>
      <c r="AD32" s="40"/>
      <c r="AE32" s="40"/>
      <c r="AF32" s="40">
        <f t="shared" si="11"/>
        <v>19862625</v>
      </c>
      <c r="AH32" s="85">
        <v>47467</v>
      </c>
      <c r="AI32" s="40"/>
      <c r="AJ32" s="101"/>
      <c r="AK32" s="40"/>
      <c r="AL32" s="40"/>
      <c r="AM32" s="40"/>
      <c r="AN32" s="40">
        <f t="shared" si="4"/>
        <v>0</v>
      </c>
      <c r="AP32" s="85">
        <v>47467</v>
      </c>
      <c r="AQ32" s="40">
        <v>0</v>
      </c>
      <c r="AR32" s="101"/>
      <c r="AS32" s="40">
        <v>4750125</v>
      </c>
      <c r="AT32" s="40">
        <v>0</v>
      </c>
      <c r="AU32" s="40"/>
      <c r="AV32" s="40">
        <f t="shared" si="12"/>
        <v>4750125</v>
      </c>
      <c r="AX32" s="85">
        <v>47467</v>
      </c>
      <c r="AY32" s="40">
        <v>0</v>
      </c>
      <c r="BA32" s="40">
        <v>426875</v>
      </c>
      <c r="BB32" s="40">
        <v>0</v>
      </c>
      <c r="BC32" s="40">
        <f t="shared" si="13"/>
        <v>426875</v>
      </c>
      <c r="BE32" s="85">
        <v>47467</v>
      </c>
      <c r="BF32" s="40">
        <v>0</v>
      </c>
      <c r="BG32" s="40"/>
      <c r="BH32" s="40">
        <v>3425625</v>
      </c>
      <c r="BI32" s="40">
        <v>0</v>
      </c>
      <c r="BJ32" s="40">
        <f t="shared" si="14"/>
        <v>3425625</v>
      </c>
      <c r="BL32" s="85">
        <v>47467</v>
      </c>
      <c r="BM32" s="40">
        <v>0</v>
      </c>
      <c r="BN32" s="40"/>
      <c r="BO32" s="40">
        <v>1655375</v>
      </c>
      <c r="BP32" s="40">
        <f t="shared" si="15"/>
        <v>1655375</v>
      </c>
      <c r="BR32" s="85">
        <v>47467</v>
      </c>
      <c r="BS32" s="40">
        <v>0</v>
      </c>
      <c r="BT32" s="87">
        <v>0</v>
      </c>
      <c r="BU32" s="40">
        <f t="shared" si="5"/>
        <v>2426875</v>
      </c>
      <c r="BV32" s="40">
        <f t="shared" si="16"/>
        <v>2426875</v>
      </c>
      <c r="BX32" s="85">
        <v>47467</v>
      </c>
      <c r="BY32" s="40">
        <v>0</v>
      </c>
      <c r="BZ32" s="87">
        <v>0</v>
      </c>
      <c r="CA32" s="40">
        <v>6345062.5</v>
      </c>
      <c r="CB32" s="40">
        <v>0</v>
      </c>
      <c r="CC32" s="40">
        <f t="shared" si="6"/>
        <v>6345062.5</v>
      </c>
      <c r="CD32" s="67"/>
      <c r="CE32" s="85">
        <v>47467</v>
      </c>
      <c r="CG32" s="87"/>
      <c r="CJ32" s="67"/>
      <c r="CK32" s="85">
        <v>47467</v>
      </c>
      <c r="CL32" s="40"/>
      <c r="CM32" s="87"/>
      <c r="CN32" s="40"/>
      <c r="CO32" s="40">
        <v>0</v>
      </c>
      <c r="CP32" s="40">
        <f t="shared" si="17"/>
        <v>0</v>
      </c>
      <c r="CQ32" s="67"/>
      <c r="CR32" s="85">
        <v>47467</v>
      </c>
      <c r="CS32" s="40"/>
      <c r="CT32" s="87"/>
      <c r="CU32" s="40"/>
      <c r="CV32" s="40">
        <f t="shared" si="18"/>
        <v>0</v>
      </c>
      <c r="CW32" s="67"/>
      <c r="CX32" s="85">
        <v>47467</v>
      </c>
      <c r="CY32" s="40">
        <v>6595539.0499999998</v>
      </c>
      <c r="CZ32" s="87"/>
      <c r="DA32" s="40">
        <v>0</v>
      </c>
      <c r="DB32" s="40">
        <v>155099460.94999999</v>
      </c>
      <c r="DC32" s="40">
        <f t="shared" si="19"/>
        <v>161695000</v>
      </c>
      <c r="DD32" s="40"/>
      <c r="DE32" s="85">
        <v>47467</v>
      </c>
      <c r="DG32" s="87"/>
      <c r="DJ32" s="40">
        <f t="shared" si="8"/>
        <v>0</v>
      </c>
      <c r="DK32" s="40"/>
      <c r="DL32" s="85">
        <v>47467</v>
      </c>
      <c r="DR32" s="85">
        <v>47467</v>
      </c>
      <c r="DV32" s="40">
        <f t="shared" si="20"/>
        <v>0</v>
      </c>
      <c r="DX32" s="85">
        <v>47467</v>
      </c>
      <c r="EB32" s="40">
        <f t="shared" si="21"/>
        <v>0</v>
      </c>
      <c r="ED32" s="85">
        <v>47467</v>
      </c>
      <c r="EI32" s="40">
        <f t="shared" si="22"/>
        <v>0</v>
      </c>
      <c r="EK32" s="85">
        <v>47467</v>
      </c>
      <c r="EP32" s="40">
        <f t="shared" si="23"/>
        <v>0</v>
      </c>
      <c r="ER32" s="85">
        <v>47467</v>
      </c>
      <c r="EW32" s="40">
        <f t="shared" si="24"/>
        <v>0</v>
      </c>
      <c r="EY32" s="85">
        <v>47467</v>
      </c>
      <c r="FD32" s="40">
        <f t="shared" si="25"/>
        <v>0</v>
      </c>
    </row>
    <row r="33" spans="1:160" x14ac:dyDescent="0.4">
      <c r="A33" s="118">
        <f t="shared" si="28"/>
        <v>51302</v>
      </c>
      <c r="B33" s="85">
        <v>51317</v>
      </c>
      <c r="C33" s="86">
        <f t="shared" si="9"/>
        <v>342073580</v>
      </c>
      <c r="D33" s="40">
        <f t="shared" si="10"/>
        <v>0</v>
      </c>
      <c r="F33" s="85">
        <v>47664</v>
      </c>
      <c r="G33" s="85"/>
      <c r="H33" s="85">
        <v>47649</v>
      </c>
      <c r="I33" s="40">
        <f>SUM(Y32:Y33,AA32:AA33,AI32:AI33,AQ32:AQ33,AY32:AY33,BF32:BF33,BM32:BM33,BS32:BS33,BY32:BY33,CF32:CF33,CL32:CL33,CS32:CS33,CY32:CY33,DF32:DF33,DM32:DM33,DS32:DS33,DY32:DY33,EE32:EE33,EL32:EL33,ES32:ES33,EZ32:EZ33)</f>
        <v>10081634.65</v>
      </c>
      <c r="J33" s="40">
        <f>SUM(AC32:AC33,AK32:AK33,AS32:AS33,BA32:BA33,BH32:BH33,BO32:BO33,BU32:BU33,CA32:CA33,CH32:CH33,CN32:CN33,CU32:CU33,DA32:DA33,DH32:DH33,DO32:DO33,DU32:DU33,EA32:EA33,EG32:EG33,EN32:EN33,EU32:EU33,FB32:FB33)</f>
        <v>77785125</v>
      </c>
      <c r="K33" s="40">
        <f>SUM(AD32:AD33,AL32:AL33,AT32:AT33,BB32:BB33,BI32:BI33,CB32:CB33,CO32:CO33,DB32:DB33,DI32:DI33,EH32:EH33,EO32:EO33,EV32:EV33,FC32:FC33)</f>
        <v>242208365.34999999</v>
      </c>
      <c r="L33" s="40">
        <f>SUM(AE32:AE33,AM32:AM33,AU32:AU33)</f>
        <v>0</v>
      </c>
      <c r="M33" s="40">
        <f>SUM(I33:L33)</f>
        <v>330075125</v>
      </c>
      <c r="O33" s="85">
        <v>47664</v>
      </c>
      <c r="P33" s="85"/>
      <c r="Q33" s="85">
        <v>47649</v>
      </c>
      <c r="R33" s="40">
        <f t="shared" si="0"/>
        <v>3486095.6</v>
      </c>
      <c r="S33" s="40">
        <f t="shared" si="1"/>
        <v>38892562.5</v>
      </c>
      <c r="T33" s="40">
        <f t="shared" si="2"/>
        <v>87108904.400000006</v>
      </c>
      <c r="U33" s="40">
        <f t="shared" si="3"/>
        <v>0</v>
      </c>
      <c r="V33" s="40">
        <f t="shared" si="26"/>
        <v>129487562.5</v>
      </c>
      <c r="X33" s="85">
        <v>47649</v>
      </c>
      <c r="Y33" s="40"/>
      <c r="Z33" s="101"/>
      <c r="AA33" s="40"/>
      <c r="AB33" s="101"/>
      <c r="AC33" s="40">
        <f t="shared" si="27"/>
        <v>19862625</v>
      </c>
      <c r="AD33" s="40"/>
      <c r="AE33" s="40"/>
      <c r="AF33" s="40">
        <f t="shared" si="11"/>
        <v>19862625</v>
      </c>
      <c r="AH33" s="85">
        <v>47649</v>
      </c>
      <c r="AI33" s="40"/>
      <c r="AJ33" s="101"/>
      <c r="AK33" s="40"/>
      <c r="AL33" s="40"/>
      <c r="AM33" s="40"/>
      <c r="AN33" s="40">
        <f t="shared" si="4"/>
        <v>0</v>
      </c>
      <c r="AP33" s="85">
        <v>47649</v>
      </c>
      <c r="AQ33" s="40">
        <v>0</v>
      </c>
      <c r="AR33" s="101"/>
      <c r="AS33" s="40">
        <v>4750125</v>
      </c>
      <c r="AT33" s="40">
        <v>0</v>
      </c>
      <c r="AU33" s="40"/>
      <c r="AV33" s="40">
        <f t="shared" si="12"/>
        <v>4750125</v>
      </c>
      <c r="AX33" s="85">
        <v>47649</v>
      </c>
      <c r="AY33" s="40">
        <v>0</v>
      </c>
      <c r="BA33" s="40">
        <v>426875</v>
      </c>
      <c r="BB33" s="40">
        <v>0</v>
      </c>
      <c r="BC33" s="40">
        <f t="shared" si="13"/>
        <v>426875</v>
      </c>
      <c r="BE33" s="85">
        <v>47649</v>
      </c>
      <c r="BF33" s="40">
        <v>0</v>
      </c>
      <c r="BG33" s="40"/>
      <c r="BH33" s="40">
        <v>3425625</v>
      </c>
      <c r="BI33" s="40">
        <v>0</v>
      </c>
      <c r="BJ33" s="40">
        <f t="shared" si="14"/>
        <v>3425625</v>
      </c>
      <c r="BL33" s="85">
        <v>47649</v>
      </c>
      <c r="BM33" s="40">
        <v>0</v>
      </c>
      <c r="BN33" s="40"/>
      <c r="BO33" s="40">
        <v>1655375</v>
      </c>
      <c r="BP33" s="40">
        <f t="shared" si="15"/>
        <v>1655375</v>
      </c>
      <c r="BR33" s="85">
        <v>47649</v>
      </c>
      <c r="BS33" s="40">
        <v>0</v>
      </c>
      <c r="BT33" s="87">
        <v>0</v>
      </c>
      <c r="BU33" s="40">
        <f t="shared" si="5"/>
        <v>2426875</v>
      </c>
      <c r="BV33" s="40">
        <f t="shared" si="16"/>
        <v>2426875</v>
      </c>
      <c r="BX33" s="85">
        <v>47649</v>
      </c>
      <c r="BY33" s="40">
        <v>0</v>
      </c>
      <c r="BZ33" s="87">
        <v>0</v>
      </c>
      <c r="CA33" s="40">
        <v>6345062.5</v>
      </c>
      <c r="CB33" s="40">
        <v>0</v>
      </c>
      <c r="CC33" s="40">
        <f t="shared" si="6"/>
        <v>6345062.5</v>
      </c>
      <c r="CD33" s="67"/>
      <c r="CE33" s="85">
        <v>47649</v>
      </c>
      <c r="CG33" s="87"/>
      <c r="CJ33" s="67"/>
      <c r="CK33" s="85">
        <v>47649</v>
      </c>
      <c r="CL33" s="40"/>
      <c r="CM33" s="87"/>
      <c r="CN33" s="40"/>
      <c r="CO33" s="40">
        <v>0</v>
      </c>
      <c r="CP33" s="40">
        <f t="shared" si="17"/>
        <v>0</v>
      </c>
      <c r="CQ33" s="67"/>
      <c r="CR33" s="85">
        <v>47649</v>
      </c>
      <c r="CS33" s="40"/>
      <c r="CT33" s="87"/>
      <c r="CU33" s="40"/>
      <c r="CV33" s="40">
        <f t="shared" si="18"/>
        <v>0</v>
      </c>
      <c r="CW33" s="67"/>
      <c r="CX33" s="85">
        <v>47649</v>
      </c>
      <c r="CY33" s="40">
        <v>3486095.6</v>
      </c>
      <c r="CZ33" s="87"/>
      <c r="DA33" s="40">
        <v>0</v>
      </c>
      <c r="DB33" s="40">
        <v>87108904.400000006</v>
      </c>
      <c r="DC33" s="40">
        <f t="shared" si="19"/>
        <v>90595000</v>
      </c>
      <c r="DD33" s="40"/>
      <c r="DE33" s="85">
        <v>47649</v>
      </c>
      <c r="DG33" s="87"/>
      <c r="DJ33" s="40">
        <f t="shared" si="8"/>
        <v>0</v>
      </c>
      <c r="DK33" s="40"/>
      <c r="DL33" s="85">
        <v>47649</v>
      </c>
      <c r="DR33" s="85">
        <v>47649</v>
      </c>
      <c r="DV33" s="40">
        <f t="shared" si="20"/>
        <v>0</v>
      </c>
      <c r="DX33" s="85">
        <v>47649</v>
      </c>
      <c r="EB33" s="40">
        <f t="shared" si="21"/>
        <v>0</v>
      </c>
      <c r="ED33" s="85">
        <v>47649</v>
      </c>
      <c r="EI33" s="40">
        <f t="shared" si="22"/>
        <v>0</v>
      </c>
      <c r="EK33" s="85">
        <v>47649</v>
      </c>
      <c r="EP33" s="40">
        <f t="shared" si="23"/>
        <v>0</v>
      </c>
      <c r="ER33" s="85">
        <v>47649</v>
      </c>
      <c r="EW33" s="40">
        <f t="shared" si="24"/>
        <v>0</v>
      </c>
      <c r="EY33" s="85">
        <v>47649</v>
      </c>
      <c r="FD33" s="40">
        <f t="shared" si="25"/>
        <v>0</v>
      </c>
    </row>
    <row r="34" spans="1:160" x14ac:dyDescent="0.4">
      <c r="A34" s="118">
        <f t="shared" si="28"/>
        <v>51667</v>
      </c>
      <c r="B34" s="85">
        <v>51682</v>
      </c>
      <c r="C34" s="86">
        <f t="shared" si="9"/>
        <v>342073957.85000002</v>
      </c>
      <c r="D34" s="40">
        <f t="shared" si="10"/>
        <v>0</v>
      </c>
      <c r="F34" s="85">
        <v>47848</v>
      </c>
      <c r="G34" s="85"/>
      <c r="H34" s="85">
        <v>47832</v>
      </c>
      <c r="I34" s="40"/>
      <c r="O34" s="85">
        <v>47848</v>
      </c>
      <c r="P34" s="85"/>
      <c r="Q34" s="85">
        <v>47832</v>
      </c>
      <c r="R34" s="40">
        <f t="shared" si="0"/>
        <v>12504528.5</v>
      </c>
      <c r="S34" s="40">
        <f t="shared" si="1"/>
        <v>38892562.5</v>
      </c>
      <c r="T34" s="40">
        <f t="shared" si="2"/>
        <v>155825471.5</v>
      </c>
      <c r="U34" s="40">
        <f t="shared" si="3"/>
        <v>0</v>
      </c>
      <c r="V34" s="40">
        <f t="shared" si="26"/>
        <v>207222562.5</v>
      </c>
      <c r="X34" s="85">
        <v>47832</v>
      </c>
      <c r="Y34" s="40"/>
      <c r="Z34" s="101"/>
      <c r="AA34" s="40"/>
      <c r="AB34" s="101"/>
      <c r="AC34" s="40">
        <f t="shared" si="27"/>
        <v>19862625</v>
      </c>
      <c r="AD34" s="40"/>
      <c r="AE34" s="40"/>
      <c r="AF34" s="40">
        <f t="shared" si="11"/>
        <v>19862625</v>
      </c>
      <c r="AH34" s="85">
        <v>47832</v>
      </c>
      <c r="AI34" s="40"/>
      <c r="AJ34" s="101"/>
      <c r="AK34" s="40"/>
      <c r="AL34" s="40"/>
      <c r="AM34" s="40"/>
      <c r="AN34" s="40">
        <f t="shared" si="4"/>
        <v>0</v>
      </c>
      <c r="AP34" s="85">
        <v>47832</v>
      </c>
      <c r="AQ34" s="40">
        <v>0</v>
      </c>
      <c r="AR34" s="101"/>
      <c r="AS34" s="40">
        <v>4750125</v>
      </c>
      <c r="AT34" s="40">
        <v>0</v>
      </c>
      <c r="AU34" s="40"/>
      <c r="AV34" s="40">
        <f t="shared" si="12"/>
        <v>4750125</v>
      </c>
      <c r="AX34" s="85">
        <v>47832</v>
      </c>
      <c r="AY34" s="40">
        <v>5360000</v>
      </c>
      <c r="AZ34" s="101">
        <v>0.05</v>
      </c>
      <c r="BA34" s="40">
        <v>426875</v>
      </c>
      <c r="BB34" s="40">
        <v>0</v>
      </c>
      <c r="BC34" s="40">
        <f t="shared" si="13"/>
        <v>5786875</v>
      </c>
      <c r="BE34" s="85">
        <v>47832</v>
      </c>
      <c r="BF34" s="40">
        <v>0</v>
      </c>
      <c r="BG34" s="40"/>
      <c r="BH34" s="40">
        <v>3425625</v>
      </c>
      <c r="BI34" s="40">
        <v>0</v>
      </c>
      <c r="BJ34" s="40">
        <f t="shared" si="14"/>
        <v>3425625</v>
      </c>
      <c r="BL34" s="85">
        <v>47832</v>
      </c>
      <c r="BM34" s="40">
        <v>1275000</v>
      </c>
      <c r="BN34" s="101">
        <v>0.05</v>
      </c>
      <c r="BO34" s="40">
        <v>1655375</v>
      </c>
      <c r="BP34" s="40">
        <f t="shared" si="15"/>
        <v>2930375</v>
      </c>
      <c r="BR34" s="85">
        <v>47832</v>
      </c>
      <c r="BS34" s="40">
        <v>0</v>
      </c>
      <c r="BT34" s="87">
        <v>0</v>
      </c>
      <c r="BU34" s="40">
        <f t="shared" si="5"/>
        <v>2426875</v>
      </c>
      <c r="BV34" s="40">
        <f t="shared" si="16"/>
        <v>2426875</v>
      </c>
      <c r="BX34" s="85">
        <v>47832</v>
      </c>
      <c r="BY34" s="40">
        <v>0</v>
      </c>
      <c r="BZ34" s="87">
        <v>0</v>
      </c>
      <c r="CA34" s="40">
        <v>6345062.5</v>
      </c>
      <c r="CB34" s="40">
        <v>0</v>
      </c>
      <c r="CC34" s="40">
        <f t="shared" si="6"/>
        <v>6345062.5</v>
      </c>
      <c r="CD34" s="67"/>
      <c r="CE34" s="85">
        <v>47832</v>
      </c>
      <c r="CG34" s="87"/>
      <c r="CJ34" s="67"/>
      <c r="CK34" s="85">
        <v>47832</v>
      </c>
      <c r="CL34" s="40"/>
      <c r="CM34" s="87"/>
      <c r="CN34" s="40"/>
      <c r="CO34" s="40">
        <v>0</v>
      </c>
      <c r="CP34" s="40">
        <f t="shared" si="17"/>
        <v>0</v>
      </c>
      <c r="CQ34" s="67"/>
      <c r="CR34" s="85">
        <v>47832</v>
      </c>
      <c r="CS34" s="40"/>
      <c r="CT34" s="87"/>
      <c r="CU34" s="40"/>
      <c r="CV34" s="40">
        <f t="shared" si="18"/>
        <v>0</v>
      </c>
      <c r="CW34" s="67"/>
      <c r="CX34" s="85">
        <v>47832</v>
      </c>
      <c r="CY34" s="40">
        <v>5869528.5</v>
      </c>
      <c r="CZ34" s="87"/>
      <c r="DA34" s="40">
        <v>0</v>
      </c>
      <c r="DB34" s="40">
        <v>155825471.5</v>
      </c>
      <c r="DC34" s="40">
        <f t="shared" si="19"/>
        <v>161695000</v>
      </c>
      <c r="DD34" s="40"/>
      <c r="DE34" s="85">
        <v>47832</v>
      </c>
      <c r="DG34" s="87"/>
      <c r="DJ34" s="40">
        <f t="shared" si="8"/>
        <v>0</v>
      </c>
      <c r="DK34" s="40"/>
      <c r="DL34" s="85">
        <v>47832</v>
      </c>
      <c r="DR34" s="85">
        <v>47832</v>
      </c>
      <c r="DV34" s="40">
        <f t="shared" si="20"/>
        <v>0</v>
      </c>
      <c r="DX34" s="85">
        <v>47832</v>
      </c>
      <c r="EB34" s="40">
        <f t="shared" si="21"/>
        <v>0</v>
      </c>
      <c r="ED34" s="85">
        <v>47832</v>
      </c>
      <c r="EI34" s="40">
        <f t="shared" si="22"/>
        <v>0</v>
      </c>
      <c r="EK34" s="85">
        <v>47832</v>
      </c>
      <c r="EP34" s="40">
        <f t="shared" si="23"/>
        <v>0</v>
      </c>
      <c r="ER34" s="85">
        <v>47832</v>
      </c>
      <c r="EW34" s="40">
        <f t="shared" si="24"/>
        <v>0</v>
      </c>
      <c r="EY34" s="85">
        <v>47832</v>
      </c>
      <c r="FD34" s="40">
        <f t="shared" si="25"/>
        <v>0</v>
      </c>
    </row>
    <row r="35" spans="1:160" x14ac:dyDescent="0.4">
      <c r="A35" s="118">
        <f t="shared" si="28"/>
        <v>52032</v>
      </c>
      <c r="B35" s="85">
        <v>52047</v>
      </c>
      <c r="C35" s="86">
        <f t="shared" si="9"/>
        <v>342074523.75</v>
      </c>
      <c r="D35" s="40">
        <f t="shared" si="10"/>
        <v>0</v>
      </c>
      <c r="F35" s="85">
        <v>48029</v>
      </c>
      <c r="G35" s="85"/>
      <c r="H35" s="85">
        <v>48014</v>
      </c>
      <c r="I35" s="40">
        <f>SUM(Y34:Y35,AA34:AA35,AI34:AI35,AQ34:AQ35,AY34:AY35,BF34:BF35,BM34:BM35,BS34:BS35,BY34:BY35,CF34:CF35,CL34:CL35,CS34:CS35,CY34:CY35,DF34:DF35,DM34:DM35,DS34:DS35,DY34:DY35,EE34:EE35,EL34:EL35,ES34:ES35,EZ34:EZ35)</f>
        <v>16220954.1</v>
      </c>
      <c r="J35" s="40">
        <f>SUM(AC34:AC35,AK34:AK35,AS34:AS35,BA34:BA35,BH34:BH35,BO34:BO35,BU34:BU35,CA34:CA35,CH34:CH35,CN34:CN35,CU34:CU35,DA34:DA35,DH34:DH35,DO34:DO35,DU34:DU35,EA34:EA35,EG34:EG35,EN34:EN35,EU34:EU35,FB34:FB35)</f>
        <v>77619250</v>
      </c>
      <c r="K35" s="40">
        <f>SUM(AD34:AD35,AL34:AL35,AT34:AT35,BB34:BB35,BI34:BI35,CB34:CB35,CO34:CO35,DB34:DB35,DI34:DI35,EH34:EH35,EO34:EO35,EV34:EV35,FC34:FC35)</f>
        <v>248239045.90000001</v>
      </c>
      <c r="L35" s="40">
        <f>SUM(AE34:AE35,AM34:AM35,AU34:AU35)</f>
        <v>0</v>
      </c>
      <c r="M35" s="40">
        <f>SUM(I35:L35)</f>
        <v>342079250</v>
      </c>
      <c r="O35" s="85">
        <v>48029</v>
      </c>
      <c r="P35" s="85"/>
      <c r="Q35" s="85">
        <v>48014</v>
      </c>
      <c r="R35" s="40">
        <f t="shared" si="0"/>
        <v>3716425.6</v>
      </c>
      <c r="S35" s="40">
        <f t="shared" si="1"/>
        <v>38726687.5</v>
      </c>
      <c r="T35" s="40">
        <f t="shared" si="2"/>
        <v>92413574.400000006</v>
      </c>
      <c r="U35" s="40">
        <f t="shared" si="3"/>
        <v>0</v>
      </c>
      <c r="V35" s="40">
        <f t="shared" si="26"/>
        <v>134856687.5</v>
      </c>
      <c r="X35" s="85">
        <v>48014</v>
      </c>
      <c r="Y35" s="40"/>
      <c r="Z35" s="101"/>
      <c r="AA35" s="40"/>
      <c r="AB35" s="101"/>
      <c r="AC35" s="40">
        <f t="shared" si="27"/>
        <v>19862625</v>
      </c>
      <c r="AD35" s="40"/>
      <c r="AE35" s="40"/>
      <c r="AF35" s="40">
        <f t="shared" si="11"/>
        <v>19862625</v>
      </c>
      <c r="AH35" s="85">
        <v>48014</v>
      </c>
      <c r="AI35" s="40"/>
      <c r="AJ35" s="101"/>
      <c r="AK35" s="40"/>
      <c r="AL35" s="40"/>
      <c r="AM35" s="40"/>
      <c r="AN35" s="40">
        <f t="shared" si="4"/>
        <v>0</v>
      </c>
      <c r="AP35" s="85">
        <v>48014</v>
      </c>
      <c r="AQ35" s="40">
        <v>0</v>
      </c>
      <c r="AR35" s="101"/>
      <c r="AS35" s="40">
        <v>4750125</v>
      </c>
      <c r="AT35" s="40">
        <v>0</v>
      </c>
      <c r="AU35" s="40"/>
      <c r="AV35" s="40">
        <f t="shared" si="12"/>
        <v>4750125</v>
      </c>
      <c r="AX35" s="85">
        <v>48014</v>
      </c>
      <c r="AY35" s="40">
        <v>0</v>
      </c>
      <c r="BA35" s="40">
        <v>292875</v>
      </c>
      <c r="BB35" s="40">
        <v>0</v>
      </c>
      <c r="BC35" s="40">
        <f t="shared" si="13"/>
        <v>292875</v>
      </c>
      <c r="BE35" s="85">
        <v>48014</v>
      </c>
      <c r="BF35" s="40">
        <v>0</v>
      </c>
      <c r="BG35" s="40"/>
      <c r="BH35" s="40">
        <v>3425625</v>
      </c>
      <c r="BI35" s="40">
        <v>0</v>
      </c>
      <c r="BJ35" s="40">
        <f t="shared" si="14"/>
        <v>3425625</v>
      </c>
      <c r="BL35" s="85">
        <v>48014</v>
      </c>
      <c r="BM35" s="40">
        <v>440000</v>
      </c>
      <c r="BN35" s="101">
        <v>0.05</v>
      </c>
      <c r="BO35" s="40">
        <v>1623500</v>
      </c>
      <c r="BP35" s="40">
        <f t="shared" si="15"/>
        <v>2063500</v>
      </c>
      <c r="BR35" s="85">
        <v>48014</v>
      </c>
      <c r="BS35" s="40">
        <v>0</v>
      </c>
      <c r="BT35" s="87">
        <v>0</v>
      </c>
      <c r="BU35" s="40">
        <f t="shared" si="5"/>
        <v>2426875</v>
      </c>
      <c r="BV35" s="40">
        <f t="shared" si="16"/>
        <v>2426875</v>
      </c>
      <c r="BX35" s="85">
        <v>48014</v>
      </c>
      <c r="BY35" s="40">
        <v>0</v>
      </c>
      <c r="BZ35" s="87">
        <v>0</v>
      </c>
      <c r="CA35" s="40">
        <v>6345062.5</v>
      </c>
      <c r="CB35" s="40">
        <v>0</v>
      </c>
      <c r="CC35" s="40">
        <f t="shared" si="6"/>
        <v>6345062.5</v>
      </c>
      <c r="CD35" s="67"/>
      <c r="CE35" s="85">
        <v>48014</v>
      </c>
      <c r="CG35" s="87"/>
      <c r="CJ35" s="67"/>
      <c r="CK35" s="85">
        <v>48014</v>
      </c>
      <c r="CL35" s="40"/>
      <c r="CM35" s="87"/>
      <c r="CN35" s="40"/>
      <c r="CO35" s="40">
        <v>0</v>
      </c>
      <c r="CP35" s="40">
        <f t="shared" si="17"/>
        <v>0</v>
      </c>
      <c r="CQ35" s="67"/>
      <c r="CR35" s="85">
        <v>48014</v>
      </c>
      <c r="CS35" s="40"/>
      <c r="CT35" s="87"/>
      <c r="CU35" s="40"/>
      <c r="CV35" s="40">
        <f t="shared" si="18"/>
        <v>0</v>
      </c>
      <c r="CW35" s="67"/>
      <c r="CX35" s="85">
        <v>48014</v>
      </c>
      <c r="CY35" s="40">
        <v>3276425.6</v>
      </c>
      <c r="CZ35" s="87"/>
      <c r="DA35" s="40">
        <v>0</v>
      </c>
      <c r="DB35" s="40">
        <v>92413574.400000006</v>
      </c>
      <c r="DC35" s="40">
        <f t="shared" si="19"/>
        <v>95690000</v>
      </c>
      <c r="DD35" s="40"/>
      <c r="DE35" s="85">
        <v>48014</v>
      </c>
      <c r="DG35" s="87"/>
      <c r="DJ35" s="40">
        <f t="shared" si="8"/>
        <v>0</v>
      </c>
      <c r="DK35" s="40"/>
      <c r="DL35" s="85">
        <v>48014</v>
      </c>
      <c r="DR35" s="85">
        <v>48014</v>
      </c>
      <c r="DV35" s="40">
        <f t="shared" si="20"/>
        <v>0</v>
      </c>
      <c r="DX35" s="85">
        <v>48014</v>
      </c>
      <c r="EB35" s="40">
        <f t="shared" si="21"/>
        <v>0</v>
      </c>
      <c r="ED35" s="85">
        <v>48014</v>
      </c>
      <c r="EI35" s="40">
        <f t="shared" si="22"/>
        <v>0</v>
      </c>
      <c r="EK35" s="85">
        <v>48014</v>
      </c>
      <c r="EP35" s="40">
        <f t="shared" si="23"/>
        <v>0</v>
      </c>
      <c r="ER35" s="85">
        <v>48014</v>
      </c>
      <c r="EW35" s="40">
        <f t="shared" si="24"/>
        <v>0</v>
      </c>
      <c r="EY35" s="85">
        <v>48014</v>
      </c>
      <c r="FD35" s="40">
        <f t="shared" si="25"/>
        <v>0</v>
      </c>
    </row>
    <row r="36" spans="1:160" x14ac:dyDescent="0.4">
      <c r="A36" s="118">
        <f t="shared" si="28"/>
        <v>52397</v>
      </c>
      <c r="B36" s="85">
        <v>52412</v>
      </c>
      <c r="C36" s="86">
        <f t="shared" si="9"/>
        <v>343628081.25</v>
      </c>
      <c r="D36" s="40">
        <f t="shared" si="10"/>
        <v>0</v>
      </c>
      <c r="F36" s="85">
        <v>48213</v>
      </c>
      <c r="G36" s="85"/>
      <c r="H36" s="85">
        <v>48197</v>
      </c>
      <c r="I36" s="40"/>
      <c r="O36" s="85">
        <v>48213</v>
      </c>
      <c r="P36" s="85"/>
      <c r="Q36" s="85">
        <v>48197</v>
      </c>
      <c r="R36" s="40">
        <f t="shared" si="0"/>
        <v>9249365.4499999993</v>
      </c>
      <c r="S36" s="40">
        <f t="shared" si="1"/>
        <v>40136438.75</v>
      </c>
      <c r="T36" s="40">
        <f t="shared" si="2"/>
        <v>156470634.55000001</v>
      </c>
      <c r="U36" s="40">
        <f t="shared" si="3"/>
        <v>0</v>
      </c>
      <c r="V36" s="40">
        <f t="shared" si="26"/>
        <v>205856438.75</v>
      </c>
      <c r="X36" s="85">
        <v>48197</v>
      </c>
      <c r="Y36" s="40"/>
      <c r="Z36" s="101"/>
      <c r="AA36" s="40"/>
      <c r="AB36" s="101"/>
      <c r="AC36" s="40">
        <f t="shared" si="27"/>
        <v>19862625</v>
      </c>
      <c r="AD36" s="40"/>
      <c r="AE36" s="40"/>
      <c r="AF36" s="40">
        <f t="shared" si="11"/>
        <v>19862625</v>
      </c>
      <c r="AH36" s="85">
        <v>48197</v>
      </c>
      <c r="AI36" s="40"/>
      <c r="AJ36" s="101"/>
      <c r="AK36" s="40"/>
      <c r="AL36" s="40"/>
      <c r="AM36" s="40"/>
      <c r="AN36" s="40">
        <f t="shared" si="4"/>
        <v>0</v>
      </c>
      <c r="AP36" s="85">
        <v>48197</v>
      </c>
      <c r="AQ36" s="40">
        <v>0</v>
      </c>
      <c r="AR36" s="101"/>
      <c r="AS36" s="40">
        <v>4750125</v>
      </c>
      <c r="AT36" s="40">
        <v>0</v>
      </c>
      <c r="AU36" s="40"/>
      <c r="AV36" s="40">
        <f t="shared" si="12"/>
        <v>4750125</v>
      </c>
      <c r="AX36" s="85">
        <v>48197</v>
      </c>
      <c r="AY36" s="40">
        <v>2705000</v>
      </c>
      <c r="AZ36" s="101">
        <v>0.05</v>
      </c>
      <c r="BA36" s="40">
        <v>1713626.25</v>
      </c>
      <c r="BB36" s="40">
        <v>0</v>
      </c>
      <c r="BC36" s="40">
        <f t="shared" si="13"/>
        <v>4418626.25</v>
      </c>
      <c r="BE36" s="85">
        <v>48197</v>
      </c>
      <c r="BF36" s="40">
        <v>0</v>
      </c>
      <c r="BG36" s="40"/>
      <c r="BH36" s="40">
        <v>3425625</v>
      </c>
      <c r="BI36" s="40">
        <v>0</v>
      </c>
      <c r="BJ36" s="40">
        <f t="shared" si="14"/>
        <v>3425625</v>
      </c>
      <c r="BL36" s="85">
        <v>48197</v>
      </c>
      <c r="BM36" s="40">
        <v>1320000</v>
      </c>
      <c r="BN36" s="101">
        <v>0.05</v>
      </c>
      <c r="BO36" s="40">
        <v>1612500</v>
      </c>
      <c r="BP36" s="40">
        <f t="shared" si="15"/>
        <v>2932500</v>
      </c>
      <c r="BR36" s="85">
        <v>48197</v>
      </c>
      <c r="BS36" s="40">
        <v>0</v>
      </c>
      <c r="BT36" s="87">
        <v>0</v>
      </c>
      <c r="BU36" s="40">
        <f t="shared" si="5"/>
        <v>2426875</v>
      </c>
      <c r="BV36" s="40">
        <f t="shared" si="16"/>
        <v>2426875</v>
      </c>
      <c r="BX36" s="85">
        <v>48197</v>
      </c>
      <c r="BY36" s="40">
        <v>0</v>
      </c>
      <c r="BZ36" s="87">
        <v>0</v>
      </c>
      <c r="CA36" s="40">
        <v>6345062.5</v>
      </c>
      <c r="CB36" s="40">
        <v>0</v>
      </c>
      <c r="CC36" s="40">
        <f t="shared" si="6"/>
        <v>6345062.5</v>
      </c>
      <c r="CD36" s="67"/>
      <c r="CE36" s="85">
        <v>48197</v>
      </c>
      <c r="CG36" s="87"/>
      <c r="CJ36" s="67"/>
      <c r="CK36" s="85">
        <v>48197</v>
      </c>
      <c r="CL36" s="40"/>
      <c r="CM36" s="87"/>
      <c r="CN36" s="40"/>
      <c r="CO36" s="40">
        <v>0</v>
      </c>
      <c r="CP36" s="40">
        <f t="shared" si="17"/>
        <v>0</v>
      </c>
      <c r="CQ36" s="67"/>
      <c r="CR36" s="85">
        <v>48197</v>
      </c>
      <c r="CS36" s="40"/>
      <c r="CT36" s="87"/>
      <c r="CU36" s="40"/>
      <c r="CV36" s="40">
        <f t="shared" si="18"/>
        <v>0</v>
      </c>
      <c r="CW36" s="67"/>
      <c r="CX36" s="85">
        <v>48197</v>
      </c>
      <c r="CY36" s="40">
        <v>5224365.45</v>
      </c>
      <c r="CZ36" s="87"/>
      <c r="DA36" s="40">
        <v>0</v>
      </c>
      <c r="DB36" s="40">
        <v>156470634.55000001</v>
      </c>
      <c r="DC36" s="40">
        <f t="shared" si="19"/>
        <v>161695000</v>
      </c>
      <c r="DD36" s="40"/>
      <c r="DE36" s="85">
        <v>48197</v>
      </c>
      <c r="DG36" s="87"/>
      <c r="DJ36" s="40">
        <f t="shared" si="8"/>
        <v>0</v>
      </c>
      <c r="DK36" s="40"/>
      <c r="DL36" s="85">
        <v>48197</v>
      </c>
      <c r="DR36" s="85">
        <v>48197</v>
      </c>
      <c r="DV36" s="40">
        <f t="shared" si="20"/>
        <v>0</v>
      </c>
      <c r="DX36" s="85">
        <v>48197</v>
      </c>
      <c r="EB36" s="40">
        <f t="shared" si="21"/>
        <v>0</v>
      </c>
      <c r="ED36" s="85">
        <v>48197</v>
      </c>
      <c r="EI36" s="40">
        <f t="shared" si="22"/>
        <v>0</v>
      </c>
      <c r="EK36" s="85">
        <v>48197</v>
      </c>
      <c r="EP36" s="40">
        <f t="shared" si="23"/>
        <v>0</v>
      </c>
      <c r="ER36" s="85">
        <v>48197</v>
      </c>
      <c r="EW36" s="40">
        <f t="shared" si="24"/>
        <v>0</v>
      </c>
      <c r="EY36" s="85">
        <v>48197</v>
      </c>
      <c r="FD36" s="40">
        <f t="shared" si="25"/>
        <v>0</v>
      </c>
    </row>
    <row r="37" spans="1:160" x14ac:dyDescent="0.4">
      <c r="A37" s="118">
        <f t="shared" si="28"/>
        <v>52763</v>
      </c>
      <c r="B37" s="85">
        <v>52778</v>
      </c>
      <c r="C37" s="86">
        <f t="shared" si="9"/>
        <v>343626515</v>
      </c>
      <c r="D37" s="40">
        <f t="shared" si="10"/>
        <v>0</v>
      </c>
      <c r="F37" s="85">
        <v>48395</v>
      </c>
      <c r="G37" s="85"/>
      <c r="H37" s="85">
        <v>48380</v>
      </c>
      <c r="I37" s="40">
        <f>SUM(Y36:Y37,AA36:AA37,AI36:AI37,AQ36:AQ37,AY36:AY37,BF36:BF37,BM36:BM37,BS36:BS37,BY36:BY37,CF36:CF37,CL36:CL37,CS36:CS37,CY36:CY37,DF36:DF37,DM36:DM37,DS36:DS37,DY36:DY37,EE36:EE37,EL36:EL37,ES36:ES37,EZ36:EZ37)</f>
        <v>12650996.649999999</v>
      </c>
      <c r="J37" s="40">
        <f>SUM(AC36:AC37,AK36:AK37,AS36:AS37,BA36:BA37,BH36:BH37,BO36:BO37,BU36:BU37,CA36:CA37,CH36:CH37,CN36:CN37,CU36:CU37,DA36:DA37,DH36:DH37,DO36:DO37,DU36:DU37,EA36:EA37,EG36:EG37,EN36:EN37,EU36:EU37,FB36:FB37)</f>
        <v>80172252.5</v>
      </c>
      <c r="K37" s="40">
        <f>SUM(AD36:AD37,AL36:AL37,AT36:AT37,BB36:BB37,BI36:BI37,CB36:CB37,CO36:CO37,DB36:DB37,DI36:DI37,EH36:EH37,EO36:EO37,EV36:EV37,FC36:FC37)</f>
        <v>249244003.35000002</v>
      </c>
      <c r="L37" s="40">
        <f>SUM(AE36:AE37,AM36:AM37,AU36:AU37)</f>
        <v>0</v>
      </c>
      <c r="M37" s="40">
        <f>SUM(I37:L37)</f>
        <v>342067252.5</v>
      </c>
      <c r="O37" s="85">
        <v>48395</v>
      </c>
      <c r="P37" s="85"/>
      <c r="Q37" s="85">
        <v>48380</v>
      </c>
      <c r="R37" s="40">
        <f t="shared" si="0"/>
        <v>3401631.2</v>
      </c>
      <c r="S37" s="40">
        <f t="shared" si="1"/>
        <v>40035813.75</v>
      </c>
      <c r="T37" s="40">
        <f t="shared" si="2"/>
        <v>92773368.799999997</v>
      </c>
      <c r="U37" s="40">
        <f t="shared" si="3"/>
        <v>0</v>
      </c>
      <c r="V37" s="40">
        <f t="shared" si="26"/>
        <v>136210813.75</v>
      </c>
      <c r="X37" s="85">
        <v>48380</v>
      </c>
      <c r="Y37" s="40"/>
      <c r="Z37" s="101"/>
      <c r="AA37" s="40"/>
      <c r="AB37" s="101"/>
      <c r="AC37" s="40">
        <f t="shared" si="27"/>
        <v>19862625</v>
      </c>
      <c r="AD37" s="40"/>
      <c r="AE37" s="40"/>
      <c r="AF37" s="40">
        <f t="shared" si="11"/>
        <v>19862625</v>
      </c>
      <c r="AH37" s="85">
        <v>48380</v>
      </c>
      <c r="AI37" s="40"/>
      <c r="AJ37" s="101"/>
      <c r="AK37" s="40"/>
      <c r="AL37" s="40"/>
      <c r="AM37" s="40"/>
      <c r="AN37" s="40">
        <f t="shared" si="4"/>
        <v>0</v>
      </c>
      <c r="AP37" s="85">
        <v>48380</v>
      </c>
      <c r="AQ37" s="40">
        <v>0</v>
      </c>
      <c r="AR37" s="101"/>
      <c r="AS37" s="40">
        <v>4750125</v>
      </c>
      <c r="AT37" s="40">
        <v>0</v>
      </c>
      <c r="AU37" s="40"/>
      <c r="AV37" s="40">
        <f t="shared" si="12"/>
        <v>4750125</v>
      </c>
      <c r="AX37" s="85">
        <v>48380</v>
      </c>
      <c r="AY37" s="40">
        <v>0</v>
      </c>
      <c r="BA37" s="40">
        <v>1646001.25</v>
      </c>
      <c r="BB37" s="40">
        <v>0</v>
      </c>
      <c r="BC37" s="40">
        <f t="shared" si="13"/>
        <v>1646001.25</v>
      </c>
      <c r="BE37" s="85">
        <v>48380</v>
      </c>
      <c r="BF37" s="40">
        <v>0</v>
      </c>
      <c r="BG37" s="40"/>
      <c r="BH37" s="40">
        <v>3425625</v>
      </c>
      <c r="BI37" s="40">
        <v>0</v>
      </c>
      <c r="BJ37" s="40">
        <f t="shared" si="14"/>
        <v>3425625</v>
      </c>
      <c r="BL37" s="85">
        <v>48380</v>
      </c>
      <c r="BM37" s="40">
        <v>485000</v>
      </c>
      <c r="BN37" s="101">
        <v>0.05</v>
      </c>
      <c r="BO37" s="40">
        <v>1579500</v>
      </c>
      <c r="BP37" s="40">
        <f t="shared" si="15"/>
        <v>2064500</v>
      </c>
      <c r="BR37" s="85">
        <v>48380</v>
      </c>
      <c r="BS37" s="40">
        <v>0</v>
      </c>
      <c r="BT37" s="87">
        <v>0</v>
      </c>
      <c r="BU37" s="40">
        <f t="shared" si="5"/>
        <v>2426875</v>
      </c>
      <c r="BV37" s="40">
        <f t="shared" si="16"/>
        <v>2426875</v>
      </c>
      <c r="BX37" s="85">
        <v>48380</v>
      </c>
      <c r="BY37" s="40">
        <v>0</v>
      </c>
      <c r="BZ37" s="87">
        <v>0</v>
      </c>
      <c r="CA37" s="40">
        <v>6345062.5</v>
      </c>
      <c r="CB37" s="40">
        <v>0</v>
      </c>
      <c r="CC37" s="40">
        <f t="shared" si="6"/>
        <v>6345062.5</v>
      </c>
      <c r="CD37" s="67"/>
      <c r="CE37" s="85">
        <v>48380</v>
      </c>
      <c r="CG37" s="87"/>
      <c r="CJ37" s="67"/>
      <c r="CK37" s="85">
        <v>48380</v>
      </c>
      <c r="CL37" s="40"/>
      <c r="CM37" s="87"/>
      <c r="CN37" s="40"/>
      <c r="CO37" s="40">
        <v>0</v>
      </c>
      <c r="CP37" s="40">
        <f t="shared" si="17"/>
        <v>0</v>
      </c>
      <c r="CQ37" s="67"/>
      <c r="CR37" s="85">
        <v>48380</v>
      </c>
      <c r="CS37" s="40"/>
      <c r="CT37" s="87"/>
      <c r="CU37" s="40"/>
      <c r="CV37" s="40">
        <f t="shared" si="18"/>
        <v>0</v>
      </c>
      <c r="CW37" s="67"/>
      <c r="CX37" s="85">
        <v>48380</v>
      </c>
      <c r="CY37" s="40">
        <v>2916631.2</v>
      </c>
      <c r="CZ37" s="87"/>
      <c r="DA37" s="40">
        <v>0</v>
      </c>
      <c r="DB37" s="40">
        <v>92773368.799999997</v>
      </c>
      <c r="DC37" s="40">
        <f t="shared" si="19"/>
        <v>95690000</v>
      </c>
      <c r="DD37" s="40"/>
      <c r="DE37" s="85">
        <v>48380</v>
      </c>
      <c r="DG37" s="87"/>
      <c r="DJ37" s="40">
        <f t="shared" si="8"/>
        <v>0</v>
      </c>
      <c r="DK37" s="40"/>
      <c r="DL37" s="85">
        <v>48380</v>
      </c>
      <c r="DR37" s="85">
        <v>48380</v>
      </c>
      <c r="DV37" s="40">
        <f t="shared" si="20"/>
        <v>0</v>
      </c>
      <c r="DX37" s="85">
        <v>48380</v>
      </c>
      <c r="EB37" s="40">
        <f t="shared" si="21"/>
        <v>0</v>
      </c>
      <c r="ED37" s="85">
        <v>48380</v>
      </c>
      <c r="EI37" s="40">
        <f t="shared" si="22"/>
        <v>0</v>
      </c>
      <c r="EK37" s="85">
        <v>48380</v>
      </c>
      <c r="EP37" s="40">
        <f t="shared" si="23"/>
        <v>0</v>
      </c>
      <c r="ER37" s="85">
        <v>48380</v>
      </c>
      <c r="EW37" s="40">
        <f t="shared" si="24"/>
        <v>0</v>
      </c>
      <c r="EY37" s="85">
        <v>48380</v>
      </c>
      <c r="FD37" s="40">
        <f t="shared" si="25"/>
        <v>0</v>
      </c>
    </row>
    <row r="38" spans="1:160" x14ac:dyDescent="0.4">
      <c r="A38" s="118">
        <f t="shared" si="28"/>
        <v>53128</v>
      </c>
      <c r="B38" s="85">
        <v>53143</v>
      </c>
      <c r="C38" s="86">
        <f t="shared" si="9"/>
        <v>343628382.5</v>
      </c>
      <c r="D38" s="40">
        <f t="shared" si="10"/>
        <v>0</v>
      </c>
      <c r="F38" s="85">
        <v>48579</v>
      </c>
      <c r="G38" s="85"/>
      <c r="H38" s="85">
        <v>48563</v>
      </c>
      <c r="I38" s="40"/>
      <c r="O38" s="85">
        <v>48579</v>
      </c>
      <c r="P38" s="85"/>
      <c r="Q38" s="85">
        <v>48563</v>
      </c>
      <c r="R38" s="40">
        <f t="shared" si="0"/>
        <v>8868731.25</v>
      </c>
      <c r="S38" s="40">
        <f t="shared" si="1"/>
        <v>40023688.75</v>
      </c>
      <c r="T38" s="40">
        <f t="shared" si="2"/>
        <v>157046268.75</v>
      </c>
      <c r="U38" s="40">
        <f t="shared" si="3"/>
        <v>0</v>
      </c>
      <c r="V38" s="40">
        <f t="shared" si="26"/>
        <v>205938688.75</v>
      </c>
      <c r="X38" s="85">
        <v>48563</v>
      </c>
      <c r="Y38" s="40"/>
      <c r="Z38" s="101"/>
      <c r="AA38" s="40"/>
      <c r="AB38" s="101"/>
      <c r="AC38" s="40">
        <f t="shared" si="27"/>
        <v>19862625</v>
      </c>
      <c r="AD38" s="40"/>
      <c r="AE38" s="40"/>
      <c r="AF38" s="40">
        <f t="shared" si="11"/>
        <v>19862625</v>
      </c>
      <c r="AH38" s="85">
        <v>48563</v>
      </c>
      <c r="AI38" s="40"/>
      <c r="AJ38" s="101"/>
      <c r="AK38" s="40"/>
      <c r="AL38" s="40"/>
      <c r="AM38" s="40"/>
      <c r="AN38" s="40">
        <f t="shared" si="4"/>
        <v>0</v>
      </c>
      <c r="AP38" s="85">
        <v>48563</v>
      </c>
      <c r="AQ38" s="40">
        <v>0</v>
      </c>
      <c r="AR38" s="101"/>
      <c r="AS38" s="40">
        <v>4750125</v>
      </c>
      <c r="AT38" s="40">
        <v>0</v>
      </c>
      <c r="AU38" s="40"/>
      <c r="AV38" s="40">
        <f t="shared" si="12"/>
        <v>4750125</v>
      </c>
      <c r="AX38" s="85">
        <v>48563</v>
      </c>
      <c r="AY38" s="40">
        <v>2855000</v>
      </c>
      <c r="AZ38" s="101">
        <v>0.05</v>
      </c>
      <c r="BA38" s="40">
        <v>1646001.25</v>
      </c>
      <c r="BB38" s="40">
        <v>0</v>
      </c>
      <c r="BC38" s="40">
        <f t="shared" si="13"/>
        <v>4501001.25</v>
      </c>
      <c r="BE38" s="85">
        <v>48563</v>
      </c>
      <c r="BF38" s="40">
        <v>0</v>
      </c>
      <c r="BG38" s="40"/>
      <c r="BH38" s="40">
        <v>3425625</v>
      </c>
      <c r="BI38" s="40">
        <v>0</v>
      </c>
      <c r="BJ38" s="40">
        <f t="shared" si="14"/>
        <v>3425625</v>
      </c>
      <c r="BL38" s="85">
        <v>48563</v>
      </c>
      <c r="BM38" s="40">
        <v>1365000</v>
      </c>
      <c r="BN38" s="101">
        <v>0.05</v>
      </c>
      <c r="BO38" s="40">
        <v>1567375</v>
      </c>
      <c r="BP38" s="40">
        <f t="shared" si="15"/>
        <v>2932375</v>
      </c>
      <c r="BR38" s="85">
        <v>48563</v>
      </c>
      <c r="BS38" s="40">
        <v>0</v>
      </c>
      <c r="BT38" s="87">
        <v>0</v>
      </c>
      <c r="BU38" s="40">
        <f t="shared" si="5"/>
        <v>2426875</v>
      </c>
      <c r="BV38" s="40">
        <f t="shared" si="16"/>
        <v>2426875</v>
      </c>
      <c r="BX38" s="85">
        <v>48563</v>
      </c>
      <c r="BY38" s="40">
        <v>0</v>
      </c>
      <c r="BZ38" s="87">
        <v>0</v>
      </c>
      <c r="CA38" s="40">
        <v>6345062.5</v>
      </c>
      <c r="CB38" s="40">
        <v>0</v>
      </c>
      <c r="CC38" s="40">
        <f t="shared" si="6"/>
        <v>6345062.5</v>
      </c>
      <c r="CD38" s="67"/>
      <c r="CE38" s="85">
        <v>48563</v>
      </c>
      <c r="CG38" s="87"/>
      <c r="CJ38" s="67"/>
      <c r="CK38" s="85">
        <v>48563</v>
      </c>
      <c r="CL38" s="40"/>
      <c r="CM38" s="87"/>
      <c r="CN38" s="40"/>
      <c r="CO38" s="40">
        <v>0</v>
      </c>
      <c r="CP38" s="40">
        <f t="shared" si="17"/>
        <v>0</v>
      </c>
      <c r="CQ38" s="67"/>
      <c r="CR38" s="85">
        <v>48563</v>
      </c>
      <c r="CS38" s="40"/>
      <c r="CT38" s="87"/>
      <c r="CU38" s="40"/>
      <c r="CV38" s="40">
        <f t="shared" si="18"/>
        <v>0</v>
      </c>
      <c r="CW38" s="67"/>
      <c r="CX38" s="85">
        <v>48563</v>
      </c>
      <c r="CY38" s="40">
        <v>4648731.25</v>
      </c>
      <c r="CZ38" s="87"/>
      <c r="DA38" s="40">
        <v>0</v>
      </c>
      <c r="DB38" s="40">
        <v>157046268.75</v>
      </c>
      <c r="DC38" s="40">
        <f t="shared" si="19"/>
        <v>161695000</v>
      </c>
      <c r="DD38" s="40"/>
      <c r="DE38" s="85">
        <v>48563</v>
      </c>
      <c r="DG38" s="87"/>
      <c r="DJ38" s="40">
        <f t="shared" si="8"/>
        <v>0</v>
      </c>
      <c r="DK38" s="40"/>
      <c r="DL38" s="85">
        <v>48563</v>
      </c>
      <c r="DR38" s="85">
        <v>48563</v>
      </c>
      <c r="DV38" s="40">
        <f t="shared" si="20"/>
        <v>0</v>
      </c>
      <c r="DX38" s="85">
        <v>48563</v>
      </c>
      <c r="EB38" s="40">
        <f t="shared" si="21"/>
        <v>0</v>
      </c>
      <c r="ED38" s="85">
        <v>48563</v>
      </c>
      <c r="EI38" s="40">
        <f t="shared" si="22"/>
        <v>0</v>
      </c>
      <c r="EK38" s="85">
        <v>48563</v>
      </c>
      <c r="EP38" s="40">
        <f t="shared" si="23"/>
        <v>0</v>
      </c>
      <c r="ER38" s="85">
        <v>48563</v>
      </c>
      <c r="EW38" s="40">
        <f t="shared" si="24"/>
        <v>0</v>
      </c>
      <c r="EY38" s="85">
        <v>48563</v>
      </c>
      <c r="FD38" s="40">
        <f t="shared" si="25"/>
        <v>0</v>
      </c>
    </row>
    <row r="39" spans="1:160" x14ac:dyDescent="0.4">
      <c r="A39" s="118">
        <f t="shared" si="28"/>
        <v>53493</v>
      </c>
      <c r="B39" s="85">
        <v>53508</v>
      </c>
      <c r="C39" s="86">
        <f t="shared" si="9"/>
        <v>343624876.25</v>
      </c>
      <c r="D39" s="40">
        <f t="shared" si="10"/>
        <v>0</v>
      </c>
      <c r="F39" s="85">
        <v>48760</v>
      </c>
      <c r="G39" s="85"/>
      <c r="H39" s="85">
        <v>48745</v>
      </c>
      <c r="I39" s="40">
        <f>SUM(Y38:Y39,AA38:AA39,AI38:AI39,AQ38:AQ39,AY38:AY39,BF38:BF39,BM38:BM39,BS38:BS39,BY38:BY39,CF38:CF39,CL38:CL39,CS38:CS39,CY38:CY39,DF38:DF39,DM38:DM39,DS38:DS39,DY38:DY39,EE38:EE39,EL38:EL39,ES38:ES39,EZ38:EZ39)</f>
        <v>11998844.050000001</v>
      </c>
      <c r="J39" s="40">
        <f>SUM(AC38:AC39,AK38:AK39,AS38:AS39,BA38:BA39,BH38:BH39,BO38:BO39,BU38:BU39,CA38:CA39,CH38:CH39,CN38:CN39,CU38:CU39,DA38:DA39,DH38:DH39,DO38:DO39,DU38:DU39,EA38:EA39,EG38:EG39,EN38:EN39,EU38:EU39,FB38:FB39)</f>
        <v>79941877.5</v>
      </c>
      <c r="K39" s="40">
        <f>SUM(AD38:AD39,AL38:AL39,AT38:AT39,BB38:BB39,BI38:BI39,CB38:CB39,CO38:CO39,DB38:DB39,DI38:DI39,EH38:EH39,EO38:EO39,EV38:EV39,FC38:FC39)</f>
        <v>250141155.94999999</v>
      </c>
      <c r="L39" s="40">
        <f>SUM(AE38:AE39,AM38:AM39,AU38:AU39)</f>
        <v>0</v>
      </c>
      <c r="M39" s="40">
        <f>SUM(I39:L39)</f>
        <v>342081877.5</v>
      </c>
      <c r="O39" s="85">
        <v>48760</v>
      </c>
      <c r="P39" s="85"/>
      <c r="Q39" s="85">
        <v>48745</v>
      </c>
      <c r="R39" s="40">
        <f t="shared" si="0"/>
        <v>3130112.8</v>
      </c>
      <c r="S39" s="40">
        <f t="shared" si="1"/>
        <v>39918188.75</v>
      </c>
      <c r="T39" s="40">
        <f t="shared" si="2"/>
        <v>93094887.200000003</v>
      </c>
      <c r="U39" s="40">
        <f t="shared" si="3"/>
        <v>0</v>
      </c>
      <c r="V39" s="40">
        <f t="shared" si="26"/>
        <v>136143188.75</v>
      </c>
      <c r="X39" s="85">
        <v>48745</v>
      </c>
      <c r="Y39" s="40"/>
      <c r="Z39" s="101"/>
      <c r="AA39" s="40"/>
      <c r="AB39" s="101"/>
      <c r="AC39" s="40">
        <f t="shared" si="27"/>
        <v>19862625</v>
      </c>
      <c r="AD39" s="40"/>
      <c r="AE39" s="40"/>
      <c r="AF39" s="40">
        <f t="shared" si="11"/>
        <v>19862625</v>
      </c>
      <c r="AH39" s="85">
        <v>48745</v>
      </c>
      <c r="AI39" s="40"/>
      <c r="AJ39" s="101"/>
      <c r="AK39" s="40"/>
      <c r="AL39" s="40"/>
      <c r="AM39" s="40"/>
      <c r="AN39" s="40">
        <f t="shared" si="4"/>
        <v>0</v>
      </c>
      <c r="AP39" s="85">
        <v>48745</v>
      </c>
      <c r="AQ39" s="40">
        <v>0</v>
      </c>
      <c r="AR39" s="101"/>
      <c r="AS39" s="40">
        <v>4750125</v>
      </c>
      <c r="AT39" s="40">
        <v>0</v>
      </c>
      <c r="AU39" s="40"/>
      <c r="AV39" s="40">
        <f t="shared" si="12"/>
        <v>4750125</v>
      </c>
      <c r="AX39" s="85">
        <v>48745</v>
      </c>
      <c r="AY39" s="40">
        <v>0</v>
      </c>
      <c r="BA39" s="40">
        <v>1574626.25</v>
      </c>
      <c r="BB39" s="40">
        <v>0</v>
      </c>
      <c r="BC39" s="40">
        <f t="shared" si="13"/>
        <v>1574626.25</v>
      </c>
      <c r="BE39" s="85">
        <v>48745</v>
      </c>
      <c r="BF39" s="40">
        <v>0</v>
      </c>
      <c r="BG39" s="40"/>
      <c r="BH39" s="40">
        <v>3425625</v>
      </c>
      <c r="BI39" s="40">
        <v>0</v>
      </c>
      <c r="BJ39" s="40">
        <f t="shared" si="14"/>
        <v>3425625</v>
      </c>
      <c r="BL39" s="85">
        <v>48745</v>
      </c>
      <c r="BM39" s="40">
        <v>535000</v>
      </c>
      <c r="BN39" s="101">
        <v>0.05</v>
      </c>
      <c r="BO39" s="40">
        <v>1533250</v>
      </c>
      <c r="BP39" s="40">
        <f t="shared" si="15"/>
        <v>2068250</v>
      </c>
      <c r="BR39" s="85">
        <v>48745</v>
      </c>
      <c r="BS39" s="40">
        <v>0</v>
      </c>
      <c r="BT39" s="87">
        <v>0</v>
      </c>
      <c r="BU39" s="40">
        <f t="shared" si="5"/>
        <v>2426875</v>
      </c>
      <c r="BV39" s="40">
        <f t="shared" si="16"/>
        <v>2426875</v>
      </c>
      <c r="BX39" s="85">
        <v>48745</v>
      </c>
      <c r="BY39" s="40">
        <v>0</v>
      </c>
      <c r="BZ39" s="87">
        <v>0</v>
      </c>
      <c r="CA39" s="40">
        <v>6345062.5</v>
      </c>
      <c r="CB39" s="40">
        <v>0</v>
      </c>
      <c r="CC39" s="40">
        <f t="shared" si="6"/>
        <v>6345062.5</v>
      </c>
      <c r="CD39" s="67"/>
      <c r="CE39" s="85">
        <v>48745</v>
      </c>
      <c r="CG39" s="87"/>
      <c r="CJ39" s="67"/>
      <c r="CK39" s="85">
        <v>48745</v>
      </c>
      <c r="CL39" s="40"/>
      <c r="CM39" s="87"/>
      <c r="CN39" s="40"/>
      <c r="CO39" s="40">
        <v>0</v>
      </c>
      <c r="CP39" s="40">
        <f t="shared" si="17"/>
        <v>0</v>
      </c>
      <c r="CQ39" s="67"/>
      <c r="CR39" s="85">
        <v>48745</v>
      </c>
      <c r="CS39" s="40"/>
      <c r="CT39" s="87"/>
      <c r="CU39" s="40"/>
      <c r="CV39" s="40">
        <f t="shared" si="18"/>
        <v>0</v>
      </c>
      <c r="CW39" s="67"/>
      <c r="CX39" s="85">
        <v>48745</v>
      </c>
      <c r="CY39" s="40">
        <v>2595112.7999999998</v>
      </c>
      <c r="CZ39" s="87"/>
      <c r="DA39" s="40">
        <v>0</v>
      </c>
      <c r="DB39" s="40">
        <v>93094887.200000003</v>
      </c>
      <c r="DC39" s="40">
        <f t="shared" si="19"/>
        <v>95690000</v>
      </c>
      <c r="DD39" s="40"/>
      <c r="DE39" s="85">
        <v>48745</v>
      </c>
      <c r="DG39" s="87"/>
      <c r="DJ39" s="40">
        <f t="shared" si="8"/>
        <v>0</v>
      </c>
      <c r="DK39" s="40"/>
      <c r="DL39" s="85">
        <v>48745</v>
      </c>
      <c r="DR39" s="85">
        <v>48745</v>
      </c>
      <c r="DV39" s="40">
        <f t="shared" si="20"/>
        <v>0</v>
      </c>
      <c r="DX39" s="85">
        <v>48745</v>
      </c>
      <c r="EB39" s="40">
        <f t="shared" si="21"/>
        <v>0</v>
      </c>
      <c r="ED39" s="85">
        <v>48745</v>
      </c>
      <c r="EI39" s="40">
        <f t="shared" si="22"/>
        <v>0</v>
      </c>
      <c r="EK39" s="85">
        <v>48745</v>
      </c>
      <c r="EP39" s="40">
        <f t="shared" si="23"/>
        <v>0</v>
      </c>
      <c r="ER39" s="85">
        <v>48745</v>
      </c>
      <c r="EW39" s="40">
        <f t="shared" si="24"/>
        <v>0</v>
      </c>
      <c r="EY39" s="85">
        <v>48745</v>
      </c>
      <c r="FD39" s="40">
        <f t="shared" si="25"/>
        <v>0</v>
      </c>
    </row>
    <row r="40" spans="1:160" x14ac:dyDescent="0.4">
      <c r="A40" s="118">
        <f t="shared" si="28"/>
        <v>53858</v>
      </c>
      <c r="B40" s="85">
        <v>53873</v>
      </c>
      <c r="C40" s="86">
        <f t="shared" si="9"/>
        <v>343623502.5</v>
      </c>
      <c r="D40" s="40">
        <f t="shared" si="10"/>
        <v>0</v>
      </c>
      <c r="F40" s="85">
        <v>48944</v>
      </c>
      <c r="G40" s="85"/>
      <c r="H40" s="85">
        <v>48928</v>
      </c>
      <c r="I40" s="40"/>
      <c r="O40" s="85">
        <v>48944</v>
      </c>
      <c r="P40" s="85"/>
      <c r="Q40" s="85">
        <v>48928</v>
      </c>
      <c r="R40" s="40">
        <f t="shared" si="0"/>
        <v>8542775.0500000007</v>
      </c>
      <c r="S40" s="40">
        <f t="shared" si="1"/>
        <v>39904813.75</v>
      </c>
      <c r="T40" s="40">
        <f t="shared" si="2"/>
        <v>157557224.94999999</v>
      </c>
      <c r="U40" s="40">
        <f t="shared" si="3"/>
        <v>0</v>
      </c>
      <c r="V40" s="40">
        <f t="shared" si="26"/>
        <v>206004813.75</v>
      </c>
      <c r="X40" s="85">
        <v>48928</v>
      </c>
      <c r="Y40" s="40"/>
      <c r="Z40" s="101"/>
      <c r="AA40" s="40"/>
      <c r="AB40" s="101"/>
      <c r="AC40" s="40">
        <f t="shared" si="27"/>
        <v>19862625</v>
      </c>
      <c r="AD40" s="40"/>
      <c r="AE40" s="40"/>
      <c r="AF40" s="40">
        <f t="shared" si="11"/>
        <v>19862625</v>
      </c>
      <c r="AH40" s="85">
        <v>48928</v>
      </c>
      <c r="AI40" s="40"/>
      <c r="AJ40" s="101"/>
      <c r="AK40" s="40"/>
      <c r="AL40" s="40"/>
      <c r="AM40" s="40"/>
      <c r="AN40" s="40">
        <f t="shared" si="4"/>
        <v>0</v>
      </c>
      <c r="AP40" s="85">
        <v>48928</v>
      </c>
      <c r="AQ40" s="40">
        <v>0</v>
      </c>
      <c r="AR40" s="101"/>
      <c r="AS40" s="40">
        <v>4750125</v>
      </c>
      <c r="AT40" s="40">
        <v>0</v>
      </c>
      <c r="AU40" s="40"/>
      <c r="AV40" s="40">
        <f t="shared" si="12"/>
        <v>4750125</v>
      </c>
      <c r="AX40" s="85">
        <v>48928</v>
      </c>
      <c r="AY40" s="40">
        <v>2995000</v>
      </c>
      <c r="AZ40" s="101">
        <v>0.05</v>
      </c>
      <c r="BA40" s="40">
        <v>1574626.25</v>
      </c>
      <c r="BB40" s="40">
        <v>0</v>
      </c>
      <c r="BC40" s="40">
        <f t="shared" si="13"/>
        <v>4569626.25</v>
      </c>
      <c r="BE40" s="85">
        <v>48928</v>
      </c>
      <c r="BF40" s="40">
        <v>0</v>
      </c>
      <c r="BG40" s="40"/>
      <c r="BH40" s="40">
        <v>3425625</v>
      </c>
      <c r="BI40" s="40">
        <v>0</v>
      </c>
      <c r="BJ40" s="40">
        <f t="shared" si="14"/>
        <v>3425625</v>
      </c>
      <c r="BL40" s="85">
        <v>48928</v>
      </c>
      <c r="BM40" s="40">
        <v>1410000</v>
      </c>
      <c r="BN40" s="101">
        <v>0.05</v>
      </c>
      <c r="BO40" s="40">
        <v>1519875</v>
      </c>
      <c r="BP40" s="40">
        <f t="shared" si="15"/>
        <v>2929875</v>
      </c>
      <c r="BR40" s="85">
        <v>48928</v>
      </c>
      <c r="BS40" s="40">
        <v>0</v>
      </c>
      <c r="BT40" s="87">
        <v>0</v>
      </c>
      <c r="BU40" s="40">
        <f t="shared" si="5"/>
        <v>2426875</v>
      </c>
      <c r="BV40" s="40">
        <f t="shared" si="16"/>
        <v>2426875</v>
      </c>
      <c r="BX40" s="85">
        <v>48928</v>
      </c>
      <c r="BY40" s="40">
        <v>0</v>
      </c>
      <c r="BZ40" s="87">
        <v>0</v>
      </c>
      <c r="CA40" s="40">
        <v>6345062.5</v>
      </c>
      <c r="CB40" s="40">
        <v>0</v>
      </c>
      <c r="CC40" s="40">
        <f t="shared" si="6"/>
        <v>6345062.5</v>
      </c>
      <c r="CD40" s="67"/>
      <c r="CE40" s="85">
        <v>48928</v>
      </c>
      <c r="CG40" s="87"/>
      <c r="CJ40" s="67"/>
      <c r="CK40" s="85">
        <v>48928</v>
      </c>
      <c r="CL40" s="40"/>
      <c r="CM40" s="87"/>
      <c r="CN40" s="40"/>
      <c r="CO40" s="40">
        <v>0</v>
      </c>
      <c r="CP40" s="40">
        <f t="shared" si="17"/>
        <v>0</v>
      </c>
      <c r="CQ40" s="67"/>
      <c r="CR40" s="85">
        <v>48928</v>
      </c>
      <c r="CS40" s="40"/>
      <c r="CT40" s="87"/>
      <c r="CU40" s="40"/>
      <c r="CV40" s="40">
        <f t="shared" si="18"/>
        <v>0</v>
      </c>
      <c r="CW40" s="67"/>
      <c r="CX40" s="85">
        <v>48928</v>
      </c>
      <c r="CY40" s="40">
        <v>4137775.05</v>
      </c>
      <c r="CZ40" s="87"/>
      <c r="DA40" s="40">
        <v>0</v>
      </c>
      <c r="DB40" s="40">
        <v>157557224.94999999</v>
      </c>
      <c r="DC40" s="40">
        <f t="shared" si="19"/>
        <v>161695000</v>
      </c>
      <c r="DD40" s="40"/>
      <c r="DE40" s="85">
        <v>48928</v>
      </c>
      <c r="DG40" s="87"/>
      <c r="DJ40" s="40">
        <f t="shared" si="8"/>
        <v>0</v>
      </c>
      <c r="DK40" s="40"/>
      <c r="DL40" s="85">
        <v>48928</v>
      </c>
      <c r="DR40" s="85">
        <v>48928</v>
      </c>
      <c r="DV40" s="40">
        <f t="shared" si="20"/>
        <v>0</v>
      </c>
      <c r="DX40" s="85">
        <v>48928</v>
      </c>
      <c r="EB40" s="40">
        <f t="shared" si="21"/>
        <v>0</v>
      </c>
      <c r="ED40" s="85">
        <v>48928</v>
      </c>
      <c r="EI40" s="40">
        <f t="shared" si="22"/>
        <v>0</v>
      </c>
      <c r="EK40" s="85">
        <v>48928</v>
      </c>
      <c r="EP40" s="40">
        <f t="shared" si="23"/>
        <v>0</v>
      </c>
      <c r="ER40" s="85">
        <v>48928</v>
      </c>
      <c r="EW40" s="40">
        <f t="shared" si="24"/>
        <v>0</v>
      </c>
      <c r="EY40" s="85">
        <v>48928</v>
      </c>
      <c r="FD40" s="40">
        <f t="shared" si="25"/>
        <v>0</v>
      </c>
    </row>
    <row r="41" spans="1:160" x14ac:dyDescent="0.4">
      <c r="A41" s="118">
        <f t="shared" si="28"/>
        <v>54224</v>
      </c>
      <c r="B41" s="85">
        <v>54239</v>
      </c>
      <c r="C41" s="86">
        <f t="shared" si="9"/>
        <v>343626768.75</v>
      </c>
      <c r="D41" s="40">
        <f t="shared" si="10"/>
        <v>0</v>
      </c>
      <c r="F41" s="85">
        <v>49125</v>
      </c>
      <c r="G41" s="85"/>
      <c r="H41" s="85">
        <v>49110</v>
      </c>
      <c r="I41" s="40">
        <f>SUM(Y40:Y41,AA40:AA41,AI40:AI41,AQ40:AQ41,AY40:AY41,BF40:BF41,BM40:BM41,BS40:BS41,BY40:BY41,CF40:CF41,CL40:CL41,CS40:CS41,CY40:CY41,DF40:DF41,DM40:DM41,DS40:DS41,DY40:DY41,EE40:EE41,EL40:EL41,ES40:ES41,EZ40:EZ41)</f>
        <v>11432731.65</v>
      </c>
      <c r="J41" s="40">
        <f>SUM(AC40:AC41,AK40:AK41,AS40:AS41,BA40:BA41,BH40:BH41,BO40:BO41,BU40:BU41,CA40:CA41,CH40:CH41,CN40:CN41,CU40:CU41,DA40:DA41,DH40:DH41,DO40:DO41,DU40:DU41,EA40:EA41,EG40:EG41,EN40:EN41,EU40:EU41,FB40:FB41)</f>
        <v>79699502.5</v>
      </c>
      <c r="K41" s="40">
        <f>SUM(AD40:AD41,AL40:AL41,AT40:AT41,BB40:BB41,BI40:BI41,CB40:CB41,CO40:CO41,DB40:DB41,DI40:DI41,EH40:EH41,EO40:EO41,EV40:EV41,FC40:FC41)</f>
        <v>250937268.34999999</v>
      </c>
      <c r="L41" s="40">
        <f>SUM(AE40:AE41,AM40:AM41,AU40:AU41)</f>
        <v>0</v>
      </c>
      <c r="M41" s="40">
        <f>SUM(I41:L41)</f>
        <v>342069502.5</v>
      </c>
      <c r="O41" s="85">
        <v>49125</v>
      </c>
      <c r="P41" s="85"/>
      <c r="Q41" s="85">
        <v>49110</v>
      </c>
      <c r="R41" s="40">
        <f t="shared" si="0"/>
        <v>2889956.6</v>
      </c>
      <c r="S41" s="40">
        <f t="shared" si="1"/>
        <v>39794688.75</v>
      </c>
      <c r="T41" s="40">
        <f t="shared" si="2"/>
        <v>93380043.400000006</v>
      </c>
      <c r="U41" s="40">
        <f t="shared" si="3"/>
        <v>0</v>
      </c>
      <c r="V41" s="40">
        <f t="shared" si="26"/>
        <v>136064688.75</v>
      </c>
      <c r="X41" s="85">
        <v>49110</v>
      </c>
      <c r="Y41" s="40"/>
      <c r="Z41" s="101"/>
      <c r="AA41" s="40"/>
      <c r="AB41" s="101"/>
      <c r="AC41" s="40">
        <f t="shared" si="27"/>
        <v>19862625</v>
      </c>
      <c r="AD41" s="40"/>
      <c r="AE41" s="40"/>
      <c r="AF41" s="40">
        <f t="shared" si="11"/>
        <v>19862625</v>
      </c>
      <c r="AH41" s="85">
        <v>49110</v>
      </c>
      <c r="AI41" s="40"/>
      <c r="AJ41" s="101"/>
      <c r="AK41" s="40"/>
      <c r="AL41" s="40"/>
      <c r="AM41" s="40"/>
      <c r="AN41" s="40">
        <f t="shared" si="4"/>
        <v>0</v>
      </c>
      <c r="AP41" s="85">
        <v>49110</v>
      </c>
      <c r="AQ41" s="40">
        <v>0</v>
      </c>
      <c r="AR41" s="101"/>
      <c r="AS41" s="40">
        <v>4750125</v>
      </c>
      <c r="AT41" s="40">
        <v>0</v>
      </c>
      <c r="AU41" s="40"/>
      <c r="AV41" s="40">
        <f t="shared" si="12"/>
        <v>4750125</v>
      </c>
      <c r="AX41" s="85">
        <v>49110</v>
      </c>
      <c r="AY41" s="40">
        <v>0</v>
      </c>
      <c r="BA41" s="40">
        <v>1499751.25</v>
      </c>
      <c r="BB41" s="40">
        <v>0</v>
      </c>
      <c r="BC41" s="40">
        <f t="shared" si="13"/>
        <v>1499751.25</v>
      </c>
      <c r="BE41" s="85">
        <v>49110</v>
      </c>
      <c r="BF41" s="40">
        <v>0</v>
      </c>
      <c r="BG41" s="40"/>
      <c r="BH41" s="40">
        <v>3425625</v>
      </c>
      <c r="BI41" s="40">
        <v>0</v>
      </c>
      <c r="BJ41" s="40">
        <f t="shared" si="14"/>
        <v>3425625</v>
      </c>
      <c r="BL41" s="85">
        <v>49110</v>
      </c>
      <c r="BM41" s="40">
        <v>580000</v>
      </c>
      <c r="BN41" s="101">
        <v>0.05</v>
      </c>
      <c r="BO41" s="40">
        <v>1484625</v>
      </c>
      <c r="BP41" s="40">
        <f t="shared" si="15"/>
        <v>2064625</v>
      </c>
      <c r="BR41" s="85">
        <v>49110</v>
      </c>
      <c r="BS41" s="40">
        <v>0</v>
      </c>
      <c r="BT41" s="87">
        <v>0</v>
      </c>
      <c r="BU41" s="40">
        <f t="shared" si="5"/>
        <v>2426875</v>
      </c>
      <c r="BV41" s="40">
        <f t="shared" si="16"/>
        <v>2426875</v>
      </c>
      <c r="BX41" s="85">
        <v>49110</v>
      </c>
      <c r="BY41" s="40">
        <v>0</v>
      </c>
      <c r="BZ41" s="87">
        <v>0</v>
      </c>
      <c r="CA41" s="40">
        <v>6345062.5</v>
      </c>
      <c r="CB41" s="40">
        <v>0</v>
      </c>
      <c r="CC41" s="40">
        <f t="shared" si="6"/>
        <v>6345062.5</v>
      </c>
      <c r="CD41" s="67"/>
      <c r="CE41" s="85">
        <v>49110</v>
      </c>
      <c r="CG41" s="87"/>
      <c r="CJ41" s="67"/>
      <c r="CK41" s="85">
        <v>49110</v>
      </c>
      <c r="CL41" s="40"/>
      <c r="CM41" s="87"/>
      <c r="CN41" s="40"/>
      <c r="CO41" s="40">
        <v>0</v>
      </c>
      <c r="CP41" s="40">
        <f t="shared" si="17"/>
        <v>0</v>
      </c>
      <c r="CQ41" s="67"/>
      <c r="CR41" s="85">
        <v>49110</v>
      </c>
      <c r="CS41" s="40"/>
      <c r="CT41" s="87"/>
      <c r="CU41" s="40"/>
      <c r="CV41" s="40">
        <f t="shared" si="18"/>
        <v>0</v>
      </c>
      <c r="CW41" s="67"/>
      <c r="CX41" s="85">
        <v>49110</v>
      </c>
      <c r="CY41" s="40">
        <v>2309956.6</v>
      </c>
      <c r="CZ41" s="87"/>
      <c r="DA41" s="40">
        <v>0</v>
      </c>
      <c r="DB41" s="40">
        <v>93380043.400000006</v>
      </c>
      <c r="DC41" s="40">
        <f t="shared" si="19"/>
        <v>95690000</v>
      </c>
      <c r="DD41" s="40"/>
      <c r="DE41" s="85">
        <v>49110</v>
      </c>
      <c r="DG41" s="87"/>
      <c r="DJ41" s="40">
        <f t="shared" si="8"/>
        <v>0</v>
      </c>
      <c r="DK41" s="40"/>
      <c r="DL41" s="85">
        <v>49110</v>
      </c>
      <c r="DR41" s="85">
        <v>49110</v>
      </c>
      <c r="DV41" s="40">
        <f t="shared" si="20"/>
        <v>0</v>
      </c>
      <c r="DX41" s="85">
        <v>49110</v>
      </c>
      <c r="EB41" s="40">
        <f t="shared" si="21"/>
        <v>0</v>
      </c>
      <c r="ED41" s="85">
        <v>49110</v>
      </c>
      <c r="EI41" s="40">
        <f t="shared" si="22"/>
        <v>0</v>
      </c>
      <c r="EK41" s="85">
        <v>49110</v>
      </c>
      <c r="EP41" s="40">
        <f t="shared" si="23"/>
        <v>0</v>
      </c>
      <c r="ER41" s="85">
        <v>49110</v>
      </c>
      <c r="EW41" s="40">
        <f t="shared" si="24"/>
        <v>0</v>
      </c>
      <c r="EY41" s="85">
        <v>49110</v>
      </c>
      <c r="FD41" s="40">
        <f t="shared" si="25"/>
        <v>0</v>
      </c>
    </row>
    <row r="42" spans="1:160" x14ac:dyDescent="0.4">
      <c r="A42" s="118">
        <f t="shared" si="28"/>
        <v>54589</v>
      </c>
      <c r="B42" s="85">
        <v>54604</v>
      </c>
      <c r="C42" s="86">
        <f t="shared" si="9"/>
        <v>343623434.30000001</v>
      </c>
      <c r="D42" s="40">
        <f t="shared" si="10"/>
        <v>0</v>
      </c>
      <c r="F42" s="85">
        <v>49309</v>
      </c>
      <c r="G42" s="85"/>
      <c r="H42" s="85">
        <v>49293</v>
      </c>
      <c r="I42" s="40"/>
      <c r="O42" s="85">
        <v>49309</v>
      </c>
      <c r="P42" s="85"/>
      <c r="Q42" s="85">
        <v>49293</v>
      </c>
      <c r="R42" s="40">
        <f t="shared" si="0"/>
        <v>8301795.1500000004</v>
      </c>
      <c r="S42" s="40">
        <f t="shared" si="1"/>
        <v>39780188.75</v>
      </c>
      <c r="T42" s="40">
        <f t="shared" si="2"/>
        <v>158013204.84999999</v>
      </c>
      <c r="U42" s="40">
        <f t="shared" si="3"/>
        <v>0</v>
      </c>
      <c r="V42" s="40">
        <f t="shared" si="26"/>
        <v>206095188.75</v>
      </c>
      <c r="X42" s="85">
        <v>49293</v>
      </c>
      <c r="Y42" s="40"/>
      <c r="Z42" s="101"/>
      <c r="AA42" s="40"/>
      <c r="AB42" s="101"/>
      <c r="AC42" s="40">
        <f t="shared" si="27"/>
        <v>19862625</v>
      </c>
      <c r="AD42" s="40"/>
      <c r="AE42" s="40"/>
      <c r="AF42" s="40">
        <f t="shared" si="11"/>
        <v>19862625</v>
      </c>
      <c r="AH42" s="85">
        <v>49293</v>
      </c>
      <c r="AI42" s="40"/>
      <c r="AJ42" s="101"/>
      <c r="AK42" s="40"/>
      <c r="AL42" s="40"/>
      <c r="AM42" s="40"/>
      <c r="AN42" s="40">
        <f t="shared" si="4"/>
        <v>0</v>
      </c>
      <c r="AP42" s="85">
        <v>49293</v>
      </c>
      <c r="AQ42" s="40">
        <v>0</v>
      </c>
      <c r="AR42" s="101"/>
      <c r="AS42" s="40">
        <v>4750125</v>
      </c>
      <c r="AT42" s="40">
        <v>0</v>
      </c>
      <c r="AU42" s="40"/>
      <c r="AV42" s="40">
        <f t="shared" si="12"/>
        <v>4750125</v>
      </c>
      <c r="AX42" s="85">
        <v>49293</v>
      </c>
      <c r="AY42" s="40">
        <v>3160000</v>
      </c>
      <c r="AZ42" s="101">
        <v>0.05</v>
      </c>
      <c r="BA42" s="40">
        <v>1499751.25</v>
      </c>
      <c r="BB42" s="40">
        <v>0</v>
      </c>
      <c r="BC42" s="40">
        <f t="shared" si="13"/>
        <v>4659751.25</v>
      </c>
      <c r="BE42" s="85">
        <v>49293</v>
      </c>
      <c r="BF42" s="40">
        <v>0</v>
      </c>
      <c r="BG42" s="40"/>
      <c r="BH42" s="40">
        <v>3425625</v>
      </c>
      <c r="BI42" s="40">
        <v>0</v>
      </c>
      <c r="BJ42" s="40">
        <f t="shared" si="14"/>
        <v>3425625</v>
      </c>
      <c r="BL42" s="85">
        <v>49293</v>
      </c>
      <c r="BM42" s="40">
        <v>1460000</v>
      </c>
      <c r="BN42" s="101">
        <v>0.05</v>
      </c>
      <c r="BO42" s="40">
        <v>1470125</v>
      </c>
      <c r="BP42" s="40">
        <f t="shared" si="15"/>
        <v>2930125</v>
      </c>
      <c r="BR42" s="85">
        <v>49293</v>
      </c>
      <c r="BS42" s="40">
        <v>0</v>
      </c>
      <c r="BT42" s="87">
        <v>0</v>
      </c>
      <c r="BU42" s="40">
        <f t="shared" si="5"/>
        <v>2426875</v>
      </c>
      <c r="BV42" s="40">
        <f t="shared" si="16"/>
        <v>2426875</v>
      </c>
      <c r="BX42" s="85">
        <v>49293</v>
      </c>
      <c r="BY42" s="40">
        <v>0</v>
      </c>
      <c r="BZ42" s="87">
        <v>0</v>
      </c>
      <c r="CA42" s="40">
        <v>6345062.5</v>
      </c>
      <c r="CB42" s="40">
        <v>0</v>
      </c>
      <c r="CC42" s="40">
        <f t="shared" si="6"/>
        <v>6345062.5</v>
      </c>
      <c r="CD42" s="67"/>
      <c r="CE42" s="85">
        <v>49293</v>
      </c>
      <c r="CG42" s="87"/>
      <c r="CJ42" s="67"/>
      <c r="CK42" s="85">
        <v>49293</v>
      </c>
      <c r="CL42" s="40"/>
      <c r="CM42" s="87"/>
      <c r="CN42" s="40"/>
      <c r="CO42" s="40">
        <v>0</v>
      </c>
      <c r="CP42" s="40">
        <f t="shared" si="17"/>
        <v>0</v>
      </c>
      <c r="CQ42" s="67"/>
      <c r="CR42" s="85">
        <v>49293</v>
      </c>
      <c r="CS42" s="40"/>
      <c r="CT42" s="87"/>
      <c r="CU42" s="40"/>
      <c r="CV42" s="40">
        <f t="shared" si="18"/>
        <v>0</v>
      </c>
      <c r="CW42" s="67"/>
      <c r="CX42" s="85">
        <v>49293</v>
      </c>
      <c r="CY42" s="40">
        <v>3681795.15</v>
      </c>
      <c r="CZ42" s="87"/>
      <c r="DA42" s="40">
        <v>0</v>
      </c>
      <c r="DB42" s="40">
        <v>158013204.84999999</v>
      </c>
      <c r="DC42" s="40">
        <f t="shared" si="19"/>
        <v>161695000</v>
      </c>
      <c r="DD42" s="40"/>
      <c r="DE42" s="85">
        <v>49293</v>
      </c>
      <c r="DG42" s="87"/>
      <c r="DJ42" s="40">
        <f t="shared" si="8"/>
        <v>0</v>
      </c>
      <c r="DK42" s="40"/>
      <c r="DL42" s="85">
        <v>49293</v>
      </c>
      <c r="DR42" s="85">
        <v>49293</v>
      </c>
      <c r="DV42" s="40">
        <f t="shared" si="20"/>
        <v>0</v>
      </c>
      <c r="DX42" s="85">
        <v>49293</v>
      </c>
      <c r="EB42" s="40">
        <f t="shared" si="21"/>
        <v>0</v>
      </c>
      <c r="ED42" s="85">
        <v>49293</v>
      </c>
      <c r="EI42" s="40">
        <f t="shared" si="22"/>
        <v>0</v>
      </c>
      <c r="EK42" s="85">
        <v>49293</v>
      </c>
      <c r="EP42" s="40">
        <f t="shared" si="23"/>
        <v>0</v>
      </c>
      <c r="ER42" s="85">
        <v>49293</v>
      </c>
      <c r="EW42" s="40">
        <f t="shared" si="24"/>
        <v>0</v>
      </c>
      <c r="EY42" s="85">
        <v>49293</v>
      </c>
      <c r="FD42" s="40">
        <f t="shared" si="25"/>
        <v>0</v>
      </c>
    </row>
    <row r="43" spans="1:160" x14ac:dyDescent="0.4">
      <c r="A43" s="118">
        <f t="shared" si="28"/>
        <v>54954</v>
      </c>
      <c r="B43" s="85">
        <v>54969</v>
      </c>
      <c r="C43" s="86">
        <f t="shared" si="9"/>
        <v>343625298.85000002</v>
      </c>
      <c r="D43" s="40">
        <f t="shared" si="10"/>
        <v>0</v>
      </c>
      <c r="F43" s="85">
        <v>49490</v>
      </c>
      <c r="G43" s="85"/>
      <c r="H43" s="85">
        <v>49475</v>
      </c>
      <c r="I43" s="40">
        <f>SUM(Y42:Y43,AA42:AA43,AI42:AI43,AQ42:AQ43,AY42:AY43,BF42:BF43,BM42:BM43,BS42:BS43,BY42:BY43,CF42:CF43,CL42:CL43,CS42:CS43,CY42:CY43,DF42:DF43,DM42:DM43,DS42:DS43,DY42:DY43,EE42:EE43,EL42:EL43,ES42:ES43,EZ42:EZ43)</f>
        <v>10987216.35</v>
      </c>
      <c r="J43" s="40">
        <f>SUM(AC42:AC43,AK42:AK43,AS42:AS43,BA42:BA43,BH42:BH43,BO42:BO43,BU42:BU43,CA42:CA43,CH42:CH43,CN42:CN43,CU42:CU43,DA42:DA43,DH42:DH43,DO42:DO43,DU42:DU43,EA42:EA43,EG42:EG43,EN42:EN43,EU42:EU43,FB42:FB43)</f>
        <v>79444877.5</v>
      </c>
      <c r="K43" s="40">
        <f>SUM(AD42:AD43,AL42:AL43,AT42:AT43,BB42:BB43,BI42:BI43,CB42:CB43,CO42:CO43,DB42:DB43,DI42:DI43,EH42:EH43,EO42:EO43,EV42:EV43,FC42:FC43)</f>
        <v>251647783.64999998</v>
      </c>
      <c r="L43" s="40">
        <f>SUM(AE42:AE43,AM42:AM43,AU42:AU43)</f>
        <v>0</v>
      </c>
      <c r="M43" s="40">
        <f>SUM(I43:L43)</f>
        <v>342079877.5</v>
      </c>
      <c r="O43" s="85">
        <v>49490</v>
      </c>
      <c r="P43" s="85"/>
      <c r="Q43" s="85">
        <v>49475</v>
      </c>
      <c r="R43" s="40">
        <f t="shared" si="0"/>
        <v>2685421.2</v>
      </c>
      <c r="S43" s="40">
        <f t="shared" si="1"/>
        <v>39664688.75</v>
      </c>
      <c r="T43" s="40">
        <f t="shared" si="2"/>
        <v>93634578.799999997</v>
      </c>
      <c r="U43" s="40">
        <f t="shared" si="3"/>
        <v>0</v>
      </c>
      <c r="V43" s="40">
        <f t="shared" si="26"/>
        <v>135984688.75</v>
      </c>
      <c r="X43" s="85">
        <v>49475</v>
      </c>
      <c r="Y43" s="40"/>
      <c r="Z43" s="101"/>
      <c r="AA43" s="40"/>
      <c r="AB43" s="101"/>
      <c r="AC43" s="40">
        <f t="shared" si="27"/>
        <v>19862625</v>
      </c>
      <c r="AD43" s="40"/>
      <c r="AE43" s="40"/>
      <c r="AF43" s="40">
        <f t="shared" si="11"/>
        <v>19862625</v>
      </c>
      <c r="AH43" s="85">
        <v>49475</v>
      </c>
      <c r="AI43" s="40"/>
      <c r="AJ43" s="101"/>
      <c r="AK43" s="40"/>
      <c r="AL43" s="40"/>
      <c r="AM43" s="40"/>
      <c r="AN43" s="40">
        <f t="shared" si="4"/>
        <v>0</v>
      </c>
      <c r="AP43" s="85">
        <v>49475</v>
      </c>
      <c r="AQ43" s="40">
        <v>0</v>
      </c>
      <c r="AR43" s="101"/>
      <c r="AS43" s="40">
        <v>4750125</v>
      </c>
      <c r="AT43" s="40">
        <v>0</v>
      </c>
      <c r="AU43" s="40"/>
      <c r="AV43" s="40">
        <f t="shared" si="12"/>
        <v>4750125</v>
      </c>
      <c r="AX43" s="85">
        <v>49475</v>
      </c>
      <c r="AY43" s="40">
        <v>0</v>
      </c>
      <c r="BA43" s="40">
        <v>1420751.25</v>
      </c>
      <c r="BB43" s="40">
        <v>0</v>
      </c>
      <c r="BC43" s="40">
        <f t="shared" si="13"/>
        <v>1420751.25</v>
      </c>
      <c r="BE43" s="85">
        <v>49475</v>
      </c>
      <c r="BF43" s="40">
        <v>0</v>
      </c>
      <c r="BG43" s="40"/>
      <c r="BH43" s="40">
        <v>3425625</v>
      </c>
      <c r="BI43" s="40">
        <v>0</v>
      </c>
      <c r="BJ43" s="40">
        <f t="shared" si="14"/>
        <v>3425625</v>
      </c>
      <c r="BL43" s="85">
        <v>49475</v>
      </c>
      <c r="BM43" s="40">
        <v>630000</v>
      </c>
      <c r="BN43" s="101">
        <v>0.05</v>
      </c>
      <c r="BO43" s="40">
        <v>1433625</v>
      </c>
      <c r="BP43" s="40">
        <f t="shared" si="15"/>
        <v>2063625</v>
      </c>
      <c r="BR43" s="85">
        <v>49475</v>
      </c>
      <c r="BS43" s="40">
        <v>0</v>
      </c>
      <c r="BT43" s="87">
        <v>0</v>
      </c>
      <c r="BU43" s="40">
        <f t="shared" si="5"/>
        <v>2426875</v>
      </c>
      <c r="BV43" s="40">
        <f t="shared" si="16"/>
        <v>2426875</v>
      </c>
      <c r="BX43" s="85">
        <v>49475</v>
      </c>
      <c r="BY43" s="40">
        <v>0</v>
      </c>
      <c r="BZ43" s="87">
        <v>0</v>
      </c>
      <c r="CA43" s="40">
        <v>6345062.5</v>
      </c>
      <c r="CB43" s="40">
        <v>0</v>
      </c>
      <c r="CC43" s="40">
        <f t="shared" si="6"/>
        <v>6345062.5</v>
      </c>
      <c r="CD43" s="67"/>
      <c r="CE43" s="85">
        <v>49475</v>
      </c>
      <c r="CG43" s="87"/>
      <c r="CJ43" s="67"/>
      <c r="CK43" s="85">
        <v>49475</v>
      </c>
      <c r="CL43" s="40"/>
      <c r="CM43" s="87"/>
      <c r="CN43" s="40"/>
      <c r="CO43" s="40">
        <v>0</v>
      </c>
      <c r="CP43" s="40">
        <f t="shared" si="17"/>
        <v>0</v>
      </c>
      <c r="CQ43" s="67"/>
      <c r="CR43" s="85">
        <v>49475</v>
      </c>
      <c r="CS43" s="40"/>
      <c r="CT43" s="87"/>
      <c r="CU43" s="40"/>
      <c r="CV43" s="40">
        <f t="shared" si="18"/>
        <v>0</v>
      </c>
      <c r="CW43" s="67"/>
      <c r="CX43" s="85">
        <v>49475</v>
      </c>
      <c r="CY43" s="40">
        <v>2055421.2</v>
      </c>
      <c r="CZ43" s="87"/>
      <c r="DA43" s="40">
        <v>0</v>
      </c>
      <c r="DB43" s="40">
        <v>93634578.799999997</v>
      </c>
      <c r="DC43" s="40">
        <f t="shared" si="19"/>
        <v>95690000</v>
      </c>
      <c r="DD43" s="40"/>
      <c r="DE43" s="85">
        <v>49475</v>
      </c>
      <c r="DG43" s="87"/>
      <c r="DJ43" s="40">
        <f t="shared" si="8"/>
        <v>0</v>
      </c>
      <c r="DK43" s="40"/>
      <c r="DL43" s="85">
        <v>49475</v>
      </c>
      <c r="DR43" s="85">
        <v>49475</v>
      </c>
      <c r="DV43" s="40">
        <f t="shared" si="20"/>
        <v>0</v>
      </c>
      <c r="DX43" s="85">
        <v>49475</v>
      </c>
      <c r="EB43" s="40">
        <f t="shared" si="21"/>
        <v>0</v>
      </c>
      <c r="ED43" s="85">
        <v>49475</v>
      </c>
      <c r="EI43" s="40">
        <f t="shared" si="22"/>
        <v>0</v>
      </c>
      <c r="EK43" s="85">
        <v>49475</v>
      </c>
      <c r="EP43" s="40">
        <f t="shared" si="23"/>
        <v>0</v>
      </c>
      <c r="ER43" s="85">
        <v>49475</v>
      </c>
      <c r="EW43" s="40">
        <f t="shared" si="24"/>
        <v>0</v>
      </c>
      <c r="EY43" s="85">
        <v>49475</v>
      </c>
      <c r="FD43" s="40">
        <f t="shared" si="25"/>
        <v>0</v>
      </c>
    </row>
    <row r="44" spans="1:160" x14ac:dyDescent="0.4">
      <c r="A44" s="118">
        <f t="shared" si="28"/>
        <v>55319</v>
      </c>
      <c r="B44" s="85">
        <v>55334</v>
      </c>
      <c r="C44" s="86">
        <f t="shared" si="9"/>
        <v>347243146.5</v>
      </c>
      <c r="D44" s="40">
        <f t="shared" si="10"/>
        <v>0</v>
      </c>
      <c r="F44" s="85">
        <v>49674</v>
      </c>
      <c r="G44" s="85"/>
      <c r="H44" s="85">
        <v>49658</v>
      </c>
      <c r="I44" s="40"/>
      <c r="O44" s="85">
        <v>49674</v>
      </c>
      <c r="P44" s="85"/>
      <c r="Q44" s="85">
        <v>49658</v>
      </c>
      <c r="R44" s="40">
        <f t="shared" ref="R44:R75" si="29">SUM(Y44,AA44,AI44,AQ44,AY44,BF44,BM44,BS44,BY44,CF44,CL44,CS44,CY44,DF44,DM44,DS44,DY44,EE44,EL44,ES44,EZ44)</f>
        <v>6555709.0499999998</v>
      </c>
      <c r="S44" s="40">
        <f t="shared" ref="S44:S75" si="30">SUM(AC44,AK44,AS44,BA44,BH44,BO44,BU44,CA44,CH44,CN44,CU44,DA44,DH44,DO44,DU44,EA44,EG44,EN44,EU44,FB44)</f>
        <v>39648938.75</v>
      </c>
      <c r="T44" s="40">
        <f t="shared" ref="T44:T75" si="31">SUM(AD44,AL44,AT44,BB44,BI44,CB44,CO44,DB44,DI44,EH44,EO44,EV44,FC44)</f>
        <v>159959290.94999999</v>
      </c>
      <c r="U44" s="40">
        <f t="shared" ref="U44:U75" si="32">SUM(AE44,AM44,AU44)</f>
        <v>0</v>
      </c>
      <c r="V44" s="40">
        <f t="shared" si="26"/>
        <v>206163938.75</v>
      </c>
      <c r="X44" s="85">
        <v>49658</v>
      </c>
      <c r="Y44" s="40"/>
      <c r="Z44" s="101"/>
      <c r="AA44" s="40"/>
      <c r="AB44" s="101"/>
      <c r="AC44" s="40">
        <f t="shared" si="27"/>
        <v>19862625</v>
      </c>
      <c r="AD44" s="40"/>
      <c r="AE44" s="40"/>
      <c r="AF44" s="40">
        <f t="shared" si="11"/>
        <v>19862625</v>
      </c>
      <c r="AH44" s="85">
        <v>49658</v>
      </c>
      <c r="AI44" s="40"/>
      <c r="AJ44" s="101"/>
      <c r="AK44" s="40"/>
      <c r="AL44" s="40"/>
      <c r="AM44" s="40"/>
      <c r="AN44" s="40">
        <f t="shared" ref="AN44:AN75" si="33">SUM(AI44,AK44,AL44,AM44)</f>
        <v>0</v>
      </c>
      <c r="AP44" s="85">
        <v>49658</v>
      </c>
      <c r="AQ44" s="40">
        <v>0</v>
      </c>
      <c r="AR44" s="101"/>
      <c r="AS44" s="40">
        <v>4750125</v>
      </c>
      <c r="AT44" s="40">
        <v>0</v>
      </c>
      <c r="AU44" s="40"/>
      <c r="AV44" s="40">
        <f t="shared" si="12"/>
        <v>4750125</v>
      </c>
      <c r="AX44" s="85">
        <v>49658</v>
      </c>
      <c r="AY44" s="40">
        <v>1763151.4</v>
      </c>
      <c r="AZ44" s="101">
        <v>4.7E-2</v>
      </c>
      <c r="BA44" s="40">
        <v>1420751.25</v>
      </c>
      <c r="BB44" s="40">
        <v>1541848.6</v>
      </c>
      <c r="BC44" s="40">
        <f t="shared" si="13"/>
        <v>4725751.25</v>
      </c>
      <c r="BE44" s="85">
        <v>49658</v>
      </c>
      <c r="BF44" s="40">
        <v>0</v>
      </c>
      <c r="BG44" s="40"/>
      <c r="BH44" s="40">
        <v>3425625</v>
      </c>
      <c r="BI44" s="40">
        <v>0</v>
      </c>
      <c r="BJ44" s="40">
        <f t="shared" si="14"/>
        <v>3425625</v>
      </c>
      <c r="BL44" s="85">
        <v>49658</v>
      </c>
      <c r="BM44" s="40">
        <v>1515000</v>
      </c>
      <c r="BN44" s="101">
        <v>0.05</v>
      </c>
      <c r="BO44" s="40">
        <v>1417875</v>
      </c>
      <c r="BP44" s="40">
        <f t="shared" si="15"/>
        <v>2932875</v>
      </c>
      <c r="BR44" s="85">
        <v>49658</v>
      </c>
      <c r="BS44" s="40">
        <v>0</v>
      </c>
      <c r="BT44" s="87">
        <v>0</v>
      </c>
      <c r="BU44" s="40">
        <f t="shared" si="5"/>
        <v>2426875</v>
      </c>
      <c r="BV44" s="40">
        <f t="shared" si="16"/>
        <v>2426875</v>
      </c>
      <c r="BX44" s="85">
        <v>49658</v>
      </c>
      <c r="BY44" s="40">
        <v>0</v>
      </c>
      <c r="BZ44" s="87">
        <v>0</v>
      </c>
      <c r="CA44" s="40">
        <v>6345062.5</v>
      </c>
      <c r="CB44" s="40">
        <v>0</v>
      </c>
      <c r="CC44" s="40">
        <f t="shared" si="6"/>
        <v>6345062.5</v>
      </c>
      <c r="CD44" s="67"/>
      <c r="CE44" s="85">
        <v>49658</v>
      </c>
      <c r="CG44" s="87"/>
      <c r="CJ44" s="67"/>
      <c r="CK44" s="85">
        <v>49658</v>
      </c>
      <c r="CL44" s="40"/>
      <c r="CM44" s="87"/>
      <c r="CN44" s="40"/>
      <c r="CO44" s="40">
        <v>0</v>
      </c>
      <c r="CP44" s="40">
        <f t="shared" si="17"/>
        <v>0</v>
      </c>
      <c r="CQ44" s="67"/>
      <c r="CR44" s="85">
        <v>49658</v>
      </c>
      <c r="CS44" s="40"/>
      <c r="CT44" s="87"/>
      <c r="CU44" s="40"/>
      <c r="CV44" s="40">
        <f t="shared" si="18"/>
        <v>0</v>
      </c>
      <c r="CW44" s="67"/>
      <c r="CX44" s="85">
        <v>49658</v>
      </c>
      <c r="CY44" s="40">
        <v>3277557.65</v>
      </c>
      <c r="CZ44" s="87"/>
      <c r="DA44" s="40">
        <v>0</v>
      </c>
      <c r="DB44" s="40">
        <v>158417442.34999999</v>
      </c>
      <c r="DC44" s="40">
        <f t="shared" si="19"/>
        <v>161695000</v>
      </c>
      <c r="DD44" s="40"/>
      <c r="DE44" s="85">
        <v>49658</v>
      </c>
      <c r="DG44" s="87"/>
      <c r="DJ44" s="40">
        <f t="shared" si="8"/>
        <v>0</v>
      </c>
      <c r="DK44" s="40"/>
      <c r="DL44" s="85">
        <v>49658</v>
      </c>
      <c r="DR44" s="85">
        <v>49658</v>
      </c>
      <c r="DV44" s="40">
        <f t="shared" si="20"/>
        <v>0</v>
      </c>
      <c r="DX44" s="85">
        <v>49658</v>
      </c>
      <c r="EB44" s="40">
        <f t="shared" si="21"/>
        <v>0</v>
      </c>
      <c r="ED44" s="85">
        <v>49658</v>
      </c>
      <c r="EI44" s="40">
        <f t="shared" si="22"/>
        <v>0</v>
      </c>
      <c r="EK44" s="85">
        <v>49658</v>
      </c>
      <c r="EP44" s="40">
        <f t="shared" si="23"/>
        <v>0</v>
      </c>
      <c r="ER44" s="85">
        <v>49658</v>
      </c>
      <c r="EW44" s="40">
        <f t="shared" si="24"/>
        <v>0</v>
      </c>
      <c r="EY44" s="85">
        <v>49658</v>
      </c>
      <c r="FD44" s="40">
        <f t="shared" si="25"/>
        <v>0</v>
      </c>
    </row>
    <row r="45" spans="1:160" x14ac:dyDescent="0.4">
      <c r="A45" s="118">
        <f t="shared" si="28"/>
        <v>55685</v>
      </c>
      <c r="B45" s="85">
        <v>55700</v>
      </c>
      <c r="C45" s="86">
        <f t="shared" si="9"/>
        <v>347240614.5</v>
      </c>
      <c r="D45" s="40">
        <f t="shared" si="10"/>
        <v>0</v>
      </c>
      <c r="F45" s="85">
        <v>49856</v>
      </c>
      <c r="G45" s="85"/>
      <c r="H45" s="85">
        <v>49841</v>
      </c>
      <c r="I45" s="40">
        <f>SUM(Y44:Y45,AA44:AA45,AI44:AI45,AQ44:AQ45,AY44:AY45,BF44:BF45,BM44:BM45,BS44:BS45,BY44:BY45,CF44:CF45,CL44:CL45,CS44:CS45,CY44:CY45,DF44:DF45,DM44:DM45,DS44:DS45,DY44:DY45,EE44:EE45,EL44:EL45,ES44:ES45,EZ44:EZ45)</f>
        <v>9070301.8499999996</v>
      </c>
      <c r="J45" s="40">
        <f>SUM(AC44:AC45,AK44:AK45,AS44:AS45,BA44:BA45,BH44:BH45,BO44:BO45,BU44:BU45,CA44:CA45,CH44:CH45,CN44:CN45,CU44:CU45,DA44:DA45,DH44:DH45,DO44:DO45,DU44:DU45,EA44:EA45,EG44:EG45,EN44:EN45,EU44:EU45,FB44:FB45)</f>
        <v>79182335</v>
      </c>
      <c r="K45" s="40">
        <f>SUM(AD44:AD45,AL44:AL45,AT44:AT45,BB44:BB45,BI44:BI45,CB44:CB45,CO44:CO45,DB44:DB45,DI44:DI45,EH44:EH45,EO44:EO45,EV44:EV45,FC44:FC45)</f>
        <v>253819698.14999998</v>
      </c>
      <c r="L45" s="40">
        <f>SUM(AE44:AE45,AM44:AM45,AU44:AU45)</f>
        <v>0</v>
      </c>
      <c r="M45" s="40">
        <f>SUM(I45:L45)</f>
        <v>342072335</v>
      </c>
      <c r="O45" s="85">
        <v>49856</v>
      </c>
      <c r="P45" s="85"/>
      <c r="Q45" s="85">
        <v>49841</v>
      </c>
      <c r="R45" s="40">
        <f t="shared" si="29"/>
        <v>2514592.7999999998</v>
      </c>
      <c r="S45" s="40">
        <f t="shared" si="30"/>
        <v>39533396.25</v>
      </c>
      <c r="T45" s="40">
        <f t="shared" si="31"/>
        <v>93860407.200000003</v>
      </c>
      <c r="U45" s="40">
        <f t="shared" si="32"/>
        <v>0</v>
      </c>
      <c r="V45" s="40">
        <f t="shared" si="26"/>
        <v>135908396.25</v>
      </c>
      <c r="X45" s="85">
        <v>49841</v>
      </c>
      <c r="Y45" s="40"/>
      <c r="Z45" s="101"/>
      <c r="AA45" s="40"/>
      <c r="AB45" s="101"/>
      <c r="AC45" s="40">
        <f t="shared" si="27"/>
        <v>19862625</v>
      </c>
      <c r="AD45" s="40"/>
      <c r="AE45" s="40"/>
      <c r="AF45" s="40">
        <f t="shared" si="11"/>
        <v>19862625</v>
      </c>
      <c r="AH45" s="85">
        <v>49841</v>
      </c>
      <c r="AI45" s="40"/>
      <c r="AJ45" s="101"/>
      <c r="AK45" s="40"/>
      <c r="AL45" s="40"/>
      <c r="AM45" s="40"/>
      <c r="AN45" s="40">
        <f t="shared" si="33"/>
        <v>0</v>
      </c>
      <c r="AP45" s="85">
        <v>49841</v>
      </c>
      <c r="AQ45" s="40">
        <v>0</v>
      </c>
      <c r="AR45" s="101"/>
      <c r="AS45" s="40">
        <v>4750125</v>
      </c>
      <c r="AT45" s="40">
        <v>0</v>
      </c>
      <c r="AU45" s="40"/>
      <c r="AV45" s="40">
        <f t="shared" si="12"/>
        <v>4750125</v>
      </c>
      <c r="AX45" s="85">
        <v>49841</v>
      </c>
      <c r="AY45" s="40">
        <v>0</v>
      </c>
      <c r="BA45" s="40">
        <v>1343083.75</v>
      </c>
      <c r="BB45" s="40">
        <v>0</v>
      </c>
      <c r="BC45" s="40">
        <f t="shared" si="13"/>
        <v>1343083.75</v>
      </c>
      <c r="BE45" s="85">
        <v>49841</v>
      </c>
      <c r="BF45" s="40">
        <v>0</v>
      </c>
      <c r="BG45" s="40"/>
      <c r="BH45" s="40">
        <v>3425625</v>
      </c>
      <c r="BI45" s="40">
        <v>0</v>
      </c>
      <c r="BJ45" s="40">
        <f t="shared" si="14"/>
        <v>3425625</v>
      </c>
      <c r="BL45" s="85">
        <v>49841</v>
      </c>
      <c r="BM45" s="40">
        <v>685000</v>
      </c>
      <c r="BN45" s="101">
        <v>0.05</v>
      </c>
      <c r="BO45" s="40">
        <v>1380000</v>
      </c>
      <c r="BP45" s="40">
        <f t="shared" si="15"/>
        <v>2065000</v>
      </c>
      <c r="BR45" s="85">
        <v>49841</v>
      </c>
      <c r="BS45" s="40">
        <v>0</v>
      </c>
      <c r="BT45" s="87">
        <v>0</v>
      </c>
      <c r="BU45" s="40">
        <f t="shared" si="5"/>
        <v>2426875</v>
      </c>
      <c r="BV45" s="40">
        <f t="shared" si="16"/>
        <v>2426875</v>
      </c>
      <c r="BX45" s="85">
        <v>49841</v>
      </c>
      <c r="BY45" s="40">
        <v>0</v>
      </c>
      <c r="BZ45" s="87">
        <v>0</v>
      </c>
      <c r="CA45" s="40">
        <v>6345062.5</v>
      </c>
      <c r="CB45" s="40">
        <v>0</v>
      </c>
      <c r="CC45" s="40">
        <f t="shared" si="6"/>
        <v>6345062.5</v>
      </c>
      <c r="CD45" s="67"/>
      <c r="CE45" s="85">
        <v>49841</v>
      </c>
      <c r="CG45" s="87"/>
      <c r="CJ45" s="67"/>
      <c r="CK45" s="85">
        <v>49841</v>
      </c>
      <c r="CL45" s="40"/>
      <c r="CM45" s="87"/>
      <c r="CN45" s="40"/>
      <c r="CO45" s="40">
        <v>0</v>
      </c>
      <c r="CP45" s="40">
        <f t="shared" si="17"/>
        <v>0</v>
      </c>
      <c r="CQ45" s="67"/>
      <c r="CR45" s="85">
        <v>49841</v>
      </c>
      <c r="CS45" s="40"/>
      <c r="CT45" s="87"/>
      <c r="CU45" s="40"/>
      <c r="CV45" s="40">
        <f t="shared" si="18"/>
        <v>0</v>
      </c>
      <c r="CW45" s="67"/>
      <c r="CX45" s="85">
        <v>49841</v>
      </c>
      <c r="CY45" s="40">
        <v>1829592.8</v>
      </c>
      <c r="CZ45" s="87"/>
      <c r="DA45" s="40">
        <v>0</v>
      </c>
      <c r="DB45" s="40">
        <v>93860407.200000003</v>
      </c>
      <c r="DC45" s="40">
        <f t="shared" si="19"/>
        <v>95690000</v>
      </c>
      <c r="DD45" s="40"/>
      <c r="DE45" s="85">
        <v>49841</v>
      </c>
      <c r="DG45" s="87"/>
      <c r="DJ45" s="40">
        <f t="shared" si="8"/>
        <v>0</v>
      </c>
      <c r="DK45" s="40"/>
      <c r="DL45" s="85">
        <v>49841</v>
      </c>
      <c r="DR45" s="85">
        <v>49841</v>
      </c>
      <c r="DV45" s="40">
        <f t="shared" si="20"/>
        <v>0</v>
      </c>
      <c r="DX45" s="85">
        <v>49841</v>
      </c>
      <c r="EB45" s="40">
        <f t="shared" si="21"/>
        <v>0</v>
      </c>
      <c r="ED45" s="85">
        <v>49841</v>
      </c>
      <c r="EI45" s="40">
        <f t="shared" si="22"/>
        <v>0</v>
      </c>
      <c r="EK45" s="85">
        <v>49841</v>
      </c>
      <c r="EP45" s="40">
        <f t="shared" si="23"/>
        <v>0</v>
      </c>
      <c r="ER45" s="85">
        <v>49841</v>
      </c>
      <c r="EW45" s="40">
        <f t="shared" si="24"/>
        <v>0</v>
      </c>
      <c r="EY45" s="85">
        <v>49841</v>
      </c>
      <c r="FD45" s="40">
        <f t="shared" si="25"/>
        <v>0</v>
      </c>
    </row>
    <row r="46" spans="1:160" x14ac:dyDescent="0.4">
      <c r="A46" s="118">
        <f t="shared" si="28"/>
        <v>56050</v>
      </c>
      <c r="B46" s="85">
        <v>56065</v>
      </c>
      <c r="C46" s="86">
        <f t="shared" si="9"/>
        <v>347240548.19999999</v>
      </c>
      <c r="D46" s="40">
        <f t="shared" si="10"/>
        <v>0</v>
      </c>
      <c r="F46" s="85">
        <v>50040</v>
      </c>
      <c r="G46" s="85"/>
      <c r="H46" s="85">
        <v>50024</v>
      </c>
      <c r="I46" s="40"/>
      <c r="O46" s="85">
        <v>50040</v>
      </c>
      <c r="P46" s="85"/>
      <c r="Q46" s="85">
        <v>50024</v>
      </c>
      <c r="R46" s="40">
        <f t="shared" si="29"/>
        <v>6338153.4000000004</v>
      </c>
      <c r="S46" s="40">
        <f t="shared" si="30"/>
        <v>39516271.25</v>
      </c>
      <c r="T46" s="40">
        <f t="shared" si="31"/>
        <v>160396846.59999999</v>
      </c>
      <c r="U46" s="40">
        <f t="shared" si="32"/>
        <v>0</v>
      </c>
      <c r="V46" s="40">
        <f t="shared" si="26"/>
        <v>206251271.25</v>
      </c>
      <c r="X46" s="85">
        <v>50024</v>
      </c>
      <c r="Y46" s="40"/>
      <c r="Z46" s="101"/>
      <c r="AA46" s="40"/>
      <c r="AB46" s="101"/>
      <c r="AC46" s="40">
        <f t="shared" si="27"/>
        <v>19862625</v>
      </c>
      <c r="AD46" s="40"/>
      <c r="AE46" s="40"/>
      <c r="AF46" s="40">
        <f t="shared" si="11"/>
        <v>19862625</v>
      </c>
      <c r="AH46" s="85">
        <v>50024</v>
      </c>
      <c r="AI46" s="40"/>
      <c r="AJ46" s="101"/>
      <c r="AK46" s="40"/>
      <c r="AL46" s="40"/>
      <c r="AM46" s="40"/>
      <c r="AN46" s="40">
        <f t="shared" si="33"/>
        <v>0</v>
      </c>
      <c r="AP46" s="85">
        <v>50024</v>
      </c>
      <c r="AQ46" s="40">
        <v>0</v>
      </c>
      <c r="AR46" s="101"/>
      <c r="AS46" s="40">
        <v>4750125</v>
      </c>
      <c r="AT46" s="40">
        <v>0</v>
      </c>
      <c r="AU46" s="40"/>
      <c r="AV46" s="40">
        <f t="shared" si="12"/>
        <v>4750125</v>
      </c>
      <c r="AX46" s="85">
        <v>50024</v>
      </c>
      <c r="AY46" s="40">
        <v>1851175.6</v>
      </c>
      <c r="AZ46" s="101">
        <v>4.7E-2</v>
      </c>
      <c r="BA46" s="40">
        <v>1343083.75</v>
      </c>
      <c r="BB46" s="40">
        <v>1618824.4</v>
      </c>
      <c r="BC46" s="40">
        <f t="shared" si="13"/>
        <v>4813083.75</v>
      </c>
      <c r="BE46" s="85">
        <v>50024</v>
      </c>
      <c r="BF46" s="40">
        <v>0</v>
      </c>
      <c r="BG46" s="40"/>
      <c r="BH46" s="40">
        <v>3425625</v>
      </c>
      <c r="BI46" s="40">
        <v>0</v>
      </c>
      <c r="BJ46" s="40">
        <f t="shared" si="14"/>
        <v>3425625</v>
      </c>
      <c r="BL46" s="85">
        <v>50024</v>
      </c>
      <c r="BM46" s="40">
        <v>1570000</v>
      </c>
      <c r="BN46" s="101">
        <v>0.05</v>
      </c>
      <c r="BO46" s="40">
        <v>1362875</v>
      </c>
      <c r="BP46" s="40">
        <f t="shared" si="15"/>
        <v>2932875</v>
      </c>
      <c r="BR46" s="85">
        <v>50024</v>
      </c>
      <c r="BS46" s="40">
        <v>0</v>
      </c>
      <c r="BT46" s="87">
        <v>0</v>
      </c>
      <c r="BU46" s="40">
        <f t="shared" si="5"/>
        <v>2426875</v>
      </c>
      <c r="BV46" s="40">
        <f t="shared" si="16"/>
        <v>2426875</v>
      </c>
      <c r="BX46" s="85">
        <v>50024</v>
      </c>
      <c r="BY46" s="40">
        <v>0</v>
      </c>
      <c r="BZ46" s="87">
        <v>0</v>
      </c>
      <c r="CA46" s="40">
        <v>6345062.5</v>
      </c>
      <c r="CB46" s="40">
        <v>0</v>
      </c>
      <c r="CC46" s="40">
        <f t="shared" si="6"/>
        <v>6345062.5</v>
      </c>
      <c r="CD46" s="67"/>
      <c r="CE46" s="85">
        <v>50024</v>
      </c>
      <c r="CG46" s="87"/>
      <c r="CJ46" s="67"/>
      <c r="CK46" s="85">
        <v>50024</v>
      </c>
      <c r="CL46" s="40"/>
      <c r="CM46" s="87"/>
      <c r="CN46" s="40"/>
      <c r="CO46" s="40">
        <v>0</v>
      </c>
      <c r="CP46" s="40">
        <f t="shared" si="17"/>
        <v>0</v>
      </c>
      <c r="CQ46" s="67"/>
      <c r="CR46" s="85">
        <v>50024</v>
      </c>
      <c r="CS46" s="40"/>
      <c r="CT46" s="87"/>
      <c r="CU46" s="40"/>
      <c r="CV46" s="40">
        <f t="shared" si="18"/>
        <v>0</v>
      </c>
      <c r="CW46" s="67"/>
      <c r="CX46" s="85">
        <v>50024</v>
      </c>
      <c r="CY46" s="40">
        <v>2916977.8</v>
      </c>
      <c r="CZ46" s="87"/>
      <c r="DA46" s="40">
        <v>0</v>
      </c>
      <c r="DB46" s="40">
        <v>158778022.19999999</v>
      </c>
      <c r="DC46" s="40">
        <f t="shared" si="19"/>
        <v>161695000</v>
      </c>
      <c r="DD46" s="40"/>
      <c r="DE46" s="85">
        <v>50024</v>
      </c>
      <c r="DG46" s="87"/>
      <c r="DJ46" s="40">
        <f t="shared" si="8"/>
        <v>0</v>
      </c>
      <c r="DK46" s="40"/>
      <c r="DL46" s="85">
        <v>50024</v>
      </c>
      <c r="DR46" s="85">
        <v>50024</v>
      </c>
      <c r="DV46" s="40">
        <f t="shared" si="20"/>
        <v>0</v>
      </c>
      <c r="DX46" s="85">
        <v>50024</v>
      </c>
      <c r="EB46" s="40">
        <f t="shared" si="21"/>
        <v>0</v>
      </c>
      <c r="ED46" s="85">
        <v>50024</v>
      </c>
      <c r="EI46" s="40">
        <f t="shared" si="22"/>
        <v>0</v>
      </c>
      <c r="EK46" s="85">
        <v>50024</v>
      </c>
      <c r="EP46" s="40">
        <f t="shared" si="23"/>
        <v>0</v>
      </c>
      <c r="ER46" s="85">
        <v>50024</v>
      </c>
      <c r="EW46" s="40">
        <f t="shared" si="24"/>
        <v>0</v>
      </c>
      <c r="EY46" s="85">
        <v>50024</v>
      </c>
      <c r="FD46" s="40">
        <f t="shared" si="25"/>
        <v>0</v>
      </c>
    </row>
    <row r="47" spans="1:160" x14ac:dyDescent="0.4">
      <c r="A47" s="118">
        <f t="shared" si="28"/>
        <v>56415</v>
      </c>
      <c r="B47" s="85">
        <v>56430</v>
      </c>
      <c r="C47" s="86">
        <f t="shared" si="9"/>
        <v>347243507.14999998</v>
      </c>
      <c r="D47" s="40">
        <f t="shared" si="10"/>
        <v>0</v>
      </c>
      <c r="F47" s="85">
        <v>50221</v>
      </c>
      <c r="G47" s="85"/>
      <c r="H47" s="85">
        <v>50206</v>
      </c>
      <c r="I47" s="40">
        <f>SUM(Y46:Y47,AA46:AA47,AI46:AI47,AQ46:AQ47,AY46:AY47,BF46:BF47,BM46:BM47,BS46:BS47,BY46:BY47,CF46:CF47,CL46:CL47,CS46:CS47,CY46:CY47,DF46:DF47,DM46:DM47,DS46:DS47,DY46:DY47,EE46:EE47,EL46:EL47,ES46:ES47,EZ46:EZ47)</f>
        <v>8706797.2000000011</v>
      </c>
      <c r="J47" s="40">
        <f>SUM(AC46:AC47,AK46:AK47,AS46:AS47,BA46:BA47,BH46:BH47,BO46:BO47,BU46:BU47,CA46:CA47,CH46:CH47,CN46:CN47,CU46:CU47,DA46:DA47,DH46:DH47,DO46:DO47,DU46:DU47,EA46:EA47,EG46:EG47,EN46:EN47,EU46:EU47,FB46:FB47)</f>
        <v>78911747.5</v>
      </c>
      <c r="K47" s="40">
        <f>SUM(AD46:AD47,AL46:AL47,AT46:AT47,BB46:BB47,BI46:BI47,CB46:CB47,CO46:CO47,DB46:DB47,DI46:DI47,EH46:EH47,EO46:EO47,EV46:EV47,FC46:FC47)</f>
        <v>254458202.80000001</v>
      </c>
      <c r="L47" s="40">
        <f>SUM(AE46:AE47,AM46:AM47,AU46:AU47)</f>
        <v>0</v>
      </c>
      <c r="M47" s="40">
        <f>SUM(I47:L47)</f>
        <v>342076747.5</v>
      </c>
      <c r="O47" s="85">
        <v>50221</v>
      </c>
      <c r="P47" s="85"/>
      <c r="Q47" s="85">
        <v>50206</v>
      </c>
      <c r="R47" s="40">
        <f t="shared" si="29"/>
        <v>2368643.7999999998</v>
      </c>
      <c r="S47" s="40">
        <f t="shared" si="30"/>
        <v>39395476.25</v>
      </c>
      <c r="T47" s="40">
        <f t="shared" si="31"/>
        <v>94061356.200000003</v>
      </c>
      <c r="U47" s="40">
        <f t="shared" si="32"/>
        <v>0</v>
      </c>
      <c r="V47" s="40">
        <f t="shared" si="26"/>
        <v>135825476.25</v>
      </c>
      <c r="X47" s="85">
        <v>50206</v>
      </c>
      <c r="Y47" s="40"/>
      <c r="Z47" s="101"/>
      <c r="AA47" s="40"/>
      <c r="AB47" s="101"/>
      <c r="AC47" s="40">
        <f t="shared" si="27"/>
        <v>19862625</v>
      </c>
      <c r="AD47" s="40"/>
      <c r="AE47" s="40"/>
      <c r="AF47" s="40">
        <f t="shared" si="11"/>
        <v>19862625</v>
      </c>
      <c r="AH47" s="85">
        <v>50206</v>
      </c>
      <c r="AI47" s="40"/>
      <c r="AJ47" s="101"/>
      <c r="AK47" s="40"/>
      <c r="AL47" s="40"/>
      <c r="AM47" s="40"/>
      <c r="AN47" s="40">
        <f t="shared" si="33"/>
        <v>0</v>
      </c>
      <c r="AP47" s="85">
        <v>50206</v>
      </c>
      <c r="AQ47" s="40">
        <v>0</v>
      </c>
      <c r="AR47" s="101"/>
      <c r="AS47" s="40">
        <v>4750125</v>
      </c>
      <c r="AT47" s="40">
        <v>0</v>
      </c>
      <c r="AU47" s="40"/>
      <c r="AV47" s="40">
        <f t="shared" si="12"/>
        <v>4750125</v>
      </c>
      <c r="AX47" s="85">
        <v>50206</v>
      </c>
      <c r="AY47" s="40">
        <v>0</v>
      </c>
      <c r="BA47" s="40">
        <v>1261538.75</v>
      </c>
      <c r="BB47" s="40">
        <v>0</v>
      </c>
      <c r="BC47" s="40">
        <f t="shared" si="13"/>
        <v>1261538.75</v>
      </c>
      <c r="BE47" s="85">
        <v>50206</v>
      </c>
      <c r="BF47" s="40">
        <v>0</v>
      </c>
      <c r="BG47" s="40"/>
      <c r="BH47" s="40">
        <v>3425625</v>
      </c>
      <c r="BI47" s="40">
        <v>0</v>
      </c>
      <c r="BJ47" s="40">
        <f t="shared" si="14"/>
        <v>3425625</v>
      </c>
      <c r="BL47" s="85">
        <v>50206</v>
      </c>
      <c r="BM47" s="40">
        <v>740000</v>
      </c>
      <c r="BN47" s="101">
        <v>0.05</v>
      </c>
      <c r="BO47" s="40">
        <v>1323625</v>
      </c>
      <c r="BP47" s="40">
        <f t="shared" si="15"/>
        <v>2063625</v>
      </c>
      <c r="BR47" s="85">
        <v>50206</v>
      </c>
      <c r="BS47" s="40">
        <v>0</v>
      </c>
      <c r="BT47" s="87">
        <v>0</v>
      </c>
      <c r="BU47" s="40">
        <f t="shared" si="5"/>
        <v>2426875</v>
      </c>
      <c r="BV47" s="40">
        <f t="shared" si="16"/>
        <v>2426875</v>
      </c>
      <c r="BX47" s="85">
        <v>50206</v>
      </c>
      <c r="BY47" s="40">
        <v>0</v>
      </c>
      <c r="BZ47" s="87">
        <v>0</v>
      </c>
      <c r="CA47" s="40">
        <v>6345062.5</v>
      </c>
      <c r="CB47" s="40">
        <v>0</v>
      </c>
      <c r="CC47" s="40">
        <f t="shared" si="6"/>
        <v>6345062.5</v>
      </c>
      <c r="CD47" s="67"/>
      <c r="CE47" s="85">
        <v>50206</v>
      </c>
      <c r="CG47" s="87"/>
      <c r="CJ47" s="67"/>
      <c r="CK47" s="85">
        <v>50206</v>
      </c>
      <c r="CL47" s="40"/>
      <c r="CM47" s="87"/>
      <c r="CN47" s="40"/>
      <c r="CO47" s="40">
        <v>0</v>
      </c>
      <c r="CP47" s="40">
        <f t="shared" si="17"/>
        <v>0</v>
      </c>
      <c r="CQ47" s="67"/>
      <c r="CR47" s="85">
        <v>50206</v>
      </c>
      <c r="CS47" s="40"/>
      <c r="CT47" s="87"/>
      <c r="CU47" s="40"/>
      <c r="CV47" s="40">
        <f t="shared" si="18"/>
        <v>0</v>
      </c>
      <c r="CW47" s="67"/>
      <c r="CX47" s="85">
        <v>50206</v>
      </c>
      <c r="CY47" s="40">
        <v>1628643.8</v>
      </c>
      <c r="CZ47" s="87"/>
      <c r="DA47" s="40">
        <v>0</v>
      </c>
      <c r="DB47" s="40">
        <v>94061356.200000003</v>
      </c>
      <c r="DC47" s="40">
        <f t="shared" si="19"/>
        <v>95690000</v>
      </c>
      <c r="DD47" s="40"/>
      <c r="DE47" s="85">
        <v>50206</v>
      </c>
      <c r="DG47" s="87"/>
      <c r="DJ47" s="40">
        <f t="shared" si="8"/>
        <v>0</v>
      </c>
      <c r="DK47" s="40"/>
      <c r="DL47" s="85">
        <v>50206</v>
      </c>
      <c r="DR47" s="85">
        <v>50206</v>
      </c>
      <c r="DV47" s="40">
        <f t="shared" si="20"/>
        <v>0</v>
      </c>
      <c r="DX47" s="85">
        <v>50206</v>
      </c>
      <c r="EB47" s="40">
        <f t="shared" si="21"/>
        <v>0</v>
      </c>
      <c r="ED47" s="85">
        <v>50206</v>
      </c>
      <c r="EI47" s="40">
        <f t="shared" si="22"/>
        <v>0</v>
      </c>
      <c r="EK47" s="85">
        <v>50206</v>
      </c>
      <c r="EP47" s="40">
        <f t="shared" si="23"/>
        <v>0</v>
      </c>
      <c r="ER47" s="85">
        <v>50206</v>
      </c>
      <c r="EW47" s="40">
        <f t="shared" si="24"/>
        <v>0</v>
      </c>
      <c r="EY47" s="85">
        <v>50206</v>
      </c>
      <c r="FD47" s="40">
        <f t="shared" si="25"/>
        <v>0</v>
      </c>
    </row>
    <row r="48" spans="1:160" x14ac:dyDescent="0.4">
      <c r="A48" s="118">
        <f t="shared" si="28"/>
        <v>56780</v>
      </c>
      <c r="B48" s="85">
        <v>56795</v>
      </c>
      <c r="C48" s="86">
        <f t="shared" si="9"/>
        <v>347244579.60000002</v>
      </c>
      <c r="D48" s="40">
        <f t="shared" si="10"/>
        <v>0</v>
      </c>
      <c r="F48" s="85">
        <v>50405</v>
      </c>
      <c r="G48" s="85"/>
      <c r="H48" s="85">
        <v>50389</v>
      </c>
      <c r="I48" s="40"/>
      <c r="O48" s="85">
        <v>50405</v>
      </c>
      <c r="P48" s="85"/>
      <c r="Q48" s="85">
        <v>50389</v>
      </c>
      <c r="R48" s="40">
        <f t="shared" si="29"/>
        <v>6159404.5499999998</v>
      </c>
      <c r="S48" s="40">
        <f t="shared" si="30"/>
        <v>39376976.25</v>
      </c>
      <c r="T48" s="40">
        <f t="shared" si="31"/>
        <v>160795595.44999999</v>
      </c>
      <c r="U48" s="40">
        <f t="shared" si="32"/>
        <v>0</v>
      </c>
      <c r="V48" s="40">
        <f t="shared" si="26"/>
        <v>206331976.25</v>
      </c>
      <c r="X48" s="85">
        <v>50389</v>
      </c>
      <c r="Y48" s="40"/>
      <c r="Z48" s="101"/>
      <c r="AA48" s="40"/>
      <c r="AB48" s="101"/>
      <c r="AC48" s="40">
        <f t="shared" si="27"/>
        <v>19862625</v>
      </c>
      <c r="AD48" s="40"/>
      <c r="AE48" s="40"/>
      <c r="AF48" s="40">
        <f t="shared" si="11"/>
        <v>19862625</v>
      </c>
      <c r="AH48" s="85">
        <v>50389</v>
      </c>
      <c r="AI48" s="40"/>
      <c r="AJ48" s="101"/>
      <c r="AK48" s="40"/>
      <c r="AL48" s="40"/>
      <c r="AM48" s="40"/>
      <c r="AN48" s="40">
        <f t="shared" si="33"/>
        <v>0</v>
      </c>
      <c r="AP48" s="85">
        <v>50389</v>
      </c>
      <c r="AQ48" s="40">
        <v>0</v>
      </c>
      <c r="AR48" s="101"/>
      <c r="AS48" s="40">
        <v>4750125</v>
      </c>
      <c r="AT48" s="40">
        <v>0</v>
      </c>
      <c r="AU48" s="40"/>
      <c r="AV48" s="40">
        <f t="shared" si="12"/>
        <v>4750125</v>
      </c>
      <c r="AX48" s="85">
        <v>50389</v>
      </c>
      <c r="AY48" s="40">
        <v>1939199.8</v>
      </c>
      <c r="AZ48" s="101">
        <v>4.7E-2</v>
      </c>
      <c r="BA48" s="40">
        <v>1261538.75</v>
      </c>
      <c r="BB48" s="40">
        <v>1695800.2</v>
      </c>
      <c r="BC48" s="40">
        <f t="shared" si="13"/>
        <v>4896538.75</v>
      </c>
      <c r="BE48" s="85">
        <v>50389</v>
      </c>
      <c r="BF48" s="40">
        <v>0</v>
      </c>
      <c r="BG48" s="40"/>
      <c r="BH48" s="40">
        <v>3425625</v>
      </c>
      <c r="BI48" s="40">
        <v>0</v>
      </c>
      <c r="BJ48" s="40">
        <f t="shared" si="14"/>
        <v>3425625</v>
      </c>
      <c r="BL48" s="85">
        <v>50389</v>
      </c>
      <c r="BM48" s="40">
        <v>1625000</v>
      </c>
      <c r="BN48" s="101">
        <v>0.05</v>
      </c>
      <c r="BO48" s="40">
        <v>1305125</v>
      </c>
      <c r="BP48" s="40">
        <f t="shared" si="15"/>
        <v>2930125</v>
      </c>
      <c r="BR48" s="85">
        <v>50389</v>
      </c>
      <c r="BS48" s="40">
        <v>0</v>
      </c>
      <c r="BT48" s="87">
        <v>0</v>
      </c>
      <c r="BU48" s="40">
        <f t="shared" si="5"/>
        <v>2426875</v>
      </c>
      <c r="BV48" s="40">
        <f t="shared" si="16"/>
        <v>2426875</v>
      </c>
      <c r="BX48" s="85">
        <v>50389</v>
      </c>
      <c r="BY48" s="40">
        <v>0</v>
      </c>
      <c r="BZ48" s="87">
        <v>0</v>
      </c>
      <c r="CA48" s="40">
        <v>6345062.5</v>
      </c>
      <c r="CB48" s="40">
        <v>0</v>
      </c>
      <c r="CC48" s="40">
        <f t="shared" si="6"/>
        <v>6345062.5</v>
      </c>
      <c r="CD48" s="67"/>
      <c r="CE48" s="85">
        <v>50389</v>
      </c>
      <c r="CG48" s="87"/>
      <c r="CJ48" s="67"/>
      <c r="CK48" s="85">
        <v>50389</v>
      </c>
      <c r="CL48" s="40"/>
      <c r="CM48" s="87"/>
      <c r="CN48" s="40"/>
      <c r="CO48" s="40">
        <v>0</v>
      </c>
      <c r="CP48" s="40">
        <f t="shared" si="17"/>
        <v>0</v>
      </c>
      <c r="CQ48" s="67"/>
      <c r="CR48" s="85">
        <v>50389</v>
      </c>
      <c r="CS48" s="40"/>
      <c r="CT48" s="87"/>
      <c r="CU48" s="40"/>
      <c r="CV48" s="40">
        <f t="shared" si="18"/>
        <v>0</v>
      </c>
      <c r="CW48" s="67"/>
      <c r="CX48" s="85">
        <v>50389</v>
      </c>
      <c r="CY48" s="40">
        <v>2595204.75</v>
      </c>
      <c r="CZ48" s="87"/>
      <c r="DA48" s="40">
        <v>0</v>
      </c>
      <c r="DB48" s="40">
        <v>159099795.25</v>
      </c>
      <c r="DC48" s="40">
        <f t="shared" si="19"/>
        <v>161695000</v>
      </c>
      <c r="DD48" s="40"/>
      <c r="DE48" s="85">
        <v>50389</v>
      </c>
      <c r="DG48" s="87"/>
      <c r="DJ48" s="40">
        <f t="shared" si="8"/>
        <v>0</v>
      </c>
      <c r="DK48" s="40"/>
      <c r="DL48" s="85">
        <v>50389</v>
      </c>
      <c r="DR48" s="85">
        <v>50389</v>
      </c>
      <c r="DV48" s="40">
        <f t="shared" si="20"/>
        <v>0</v>
      </c>
      <c r="DX48" s="85">
        <v>50389</v>
      </c>
      <c r="EB48" s="40">
        <f t="shared" si="21"/>
        <v>0</v>
      </c>
      <c r="ED48" s="85">
        <v>50389</v>
      </c>
      <c r="EI48" s="40">
        <f t="shared" si="22"/>
        <v>0</v>
      </c>
      <c r="EK48" s="85">
        <v>50389</v>
      </c>
      <c r="EP48" s="40">
        <f t="shared" si="23"/>
        <v>0</v>
      </c>
      <c r="ER48" s="85">
        <v>50389</v>
      </c>
      <c r="EW48" s="40">
        <f t="shared" si="24"/>
        <v>0</v>
      </c>
      <c r="EY48" s="85">
        <v>50389</v>
      </c>
      <c r="FD48" s="40">
        <f t="shared" si="25"/>
        <v>0</v>
      </c>
    </row>
    <row r="49" spans="1:160" x14ac:dyDescent="0.4">
      <c r="A49" s="118">
        <f t="shared" si="28"/>
        <v>57146</v>
      </c>
      <c r="B49" s="85">
        <v>57161</v>
      </c>
      <c r="C49" s="86">
        <f t="shared" si="9"/>
        <v>347240703.39999998</v>
      </c>
      <c r="D49" s="40">
        <f t="shared" si="10"/>
        <v>0</v>
      </c>
      <c r="F49" s="85">
        <v>50586</v>
      </c>
      <c r="G49" s="85"/>
      <c r="H49" s="85">
        <v>50571</v>
      </c>
      <c r="I49" s="40">
        <f>SUM(Y48:Y49,AA48:AA49,AI48:AI49,AQ48:AQ49,AY48:AY49,BF48:BF49,BM48:BM49,BS48:BS49,BY48:BY49,CF48:CF49,CL48:CL49,CS48:CS49,CY48:CY49,DF48:DF49,DM48:DM49,DS48:DS49,DY48:DY49,EE48:EE49,EL48:EL49,ES48:ES49,EZ48:EZ49)</f>
        <v>8408151.1500000004</v>
      </c>
      <c r="J49" s="40">
        <f>SUM(AC48:AC49,AK48:AK49,AS48:AS49,BA48:BA49,BH48:BH49,BO48:BO49,BU48:BU49,CA48:CA49,CH48:CH49,CN48:CN49,CU48:CU49,DA48:DA49,DH48:DH49,DO48:DO49,DU48:DU49,EA48:EA49,EG48:EG49,EN48:EN49,EU48:EU49,FB48:FB49)</f>
        <v>78627905</v>
      </c>
      <c r="K49" s="40">
        <f>SUM(AD48:AD49,AL48:AL49,AT48:AT49,BB48:BB49,BI48:BI49,CB48:CB49,CO48:CO49,DB48:DB49,DI48:DI49,EH48:EH49,EO48:EO49,EV48:EV49,FC48:FC49)</f>
        <v>255036848.84999999</v>
      </c>
      <c r="L49" s="40">
        <f>SUM(AE48:AE49,AM48:AM49,AU48:AU49)</f>
        <v>0</v>
      </c>
      <c r="M49" s="40">
        <f>SUM(I49:L49)</f>
        <v>342072905</v>
      </c>
      <c r="O49" s="85">
        <v>50586</v>
      </c>
      <c r="P49" s="85"/>
      <c r="Q49" s="85">
        <v>50571</v>
      </c>
      <c r="R49" s="40">
        <f t="shared" si="29"/>
        <v>2248746.6</v>
      </c>
      <c r="S49" s="40">
        <f t="shared" si="30"/>
        <v>39250928.75</v>
      </c>
      <c r="T49" s="40">
        <f t="shared" si="31"/>
        <v>94241253.400000006</v>
      </c>
      <c r="U49" s="40">
        <f t="shared" si="32"/>
        <v>0</v>
      </c>
      <c r="V49" s="40">
        <f t="shared" si="26"/>
        <v>135740928.75</v>
      </c>
      <c r="X49" s="85">
        <v>50571</v>
      </c>
      <c r="Y49" s="40"/>
      <c r="Z49" s="101"/>
      <c r="AA49" s="40"/>
      <c r="AB49" s="101"/>
      <c r="AC49" s="40">
        <f t="shared" si="27"/>
        <v>19862625</v>
      </c>
      <c r="AD49" s="40"/>
      <c r="AE49" s="40"/>
      <c r="AF49" s="40">
        <f t="shared" si="11"/>
        <v>19862625</v>
      </c>
      <c r="AH49" s="85">
        <v>50571</v>
      </c>
      <c r="AI49" s="40"/>
      <c r="AJ49" s="101"/>
      <c r="AK49" s="40"/>
      <c r="AL49" s="40"/>
      <c r="AM49" s="40"/>
      <c r="AN49" s="40">
        <f t="shared" si="33"/>
        <v>0</v>
      </c>
      <c r="AP49" s="85">
        <v>50571</v>
      </c>
      <c r="AQ49" s="40">
        <v>0</v>
      </c>
      <c r="AR49" s="101"/>
      <c r="AS49" s="40">
        <v>4750125</v>
      </c>
      <c r="AT49" s="40">
        <v>0</v>
      </c>
      <c r="AU49" s="40"/>
      <c r="AV49" s="40">
        <f t="shared" si="12"/>
        <v>4750125</v>
      </c>
      <c r="AX49" s="85">
        <v>50571</v>
      </c>
      <c r="AY49" s="40">
        <v>0</v>
      </c>
      <c r="BA49" s="40">
        <v>1176116.25</v>
      </c>
      <c r="BB49" s="40">
        <v>0</v>
      </c>
      <c r="BC49" s="40">
        <f t="shared" si="13"/>
        <v>1176116.25</v>
      </c>
      <c r="BE49" s="85">
        <v>50571</v>
      </c>
      <c r="BF49" s="40">
        <v>0</v>
      </c>
      <c r="BG49" s="40"/>
      <c r="BH49" s="40">
        <v>3425625</v>
      </c>
      <c r="BI49" s="40">
        <v>0</v>
      </c>
      <c r="BJ49" s="40">
        <f t="shared" si="14"/>
        <v>3425625</v>
      </c>
      <c r="BL49" s="85">
        <v>50571</v>
      </c>
      <c r="BM49" s="40">
        <v>800000</v>
      </c>
      <c r="BN49" s="101">
        <v>0.05</v>
      </c>
      <c r="BO49" s="40">
        <v>1264500</v>
      </c>
      <c r="BP49" s="40">
        <f t="shared" si="15"/>
        <v>2064500</v>
      </c>
      <c r="BR49" s="85">
        <v>50571</v>
      </c>
      <c r="BS49" s="40">
        <v>0</v>
      </c>
      <c r="BT49" s="87">
        <v>0</v>
      </c>
      <c r="BU49" s="40">
        <f t="shared" si="5"/>
        <v>2426875</v>
      </c>
      <c r="BV49" s="40">
        <f t="shared" si="16"/>
        <v>2426875</v>
      </c>
      <c r="BX49" s="85">
        <v>50571</v>
      </c>
      <c r="BY49" s="40">
        <v>0</v>
      </c>
      <c r="BZ49" s="87">
        <v>0</v>
      </c>
      <c r="CA49" s="40">
        <v>6345062.5</v>
      </c>
      <c r="CB49" s="40">
        <v>0</v>
      </c>
      <c r="CC49" s="40">
        <f t="shared" si="6"/>
        <v>6345062.5</v>
      </c>
      <c r="CD49" s="67"/>
      <c r="CE49" s="85">
        <v>50571</v>
      </c>
      <c r="CG49" s="87"/>
      <c r="CJ49" s="67"/>
      <c r="CK49" s="85">
        <v>50571</v>
      </c>
      <c r="CL49" s="40"/>
      <c r="CM49" s="87"/>
      <c r="CN49" s="40"/>
      <c r="CO49" s="40">
        <v>0</v>
      </c>
      <c r="CP49" s="40">
        <f t="shared" si="17"/>
        <v>0</v>
      </c>
      <c r="CQ49" s="67"/>
      <c r="CR49" s="85">
        <v>50571</v>
      </c>
      <c r="CS49" s="40"/>
      <c r="CT49" s="87"/>
      <c r="CU49" s="40"/>
      <c r="CV49" s="40">
        <f t="shared" si="18"/>
        <v>0</v>
      </c>
      <c r="CW49" s="67"/>
      <c r="CX49" s="85">
        <v>50571</v>
      </c>
      <c r="CY49" s="40">
        <v>1448746.6</v>
      </c>
      <c r="CZ49" s="87"/>
      <c r="DA49" s="40">
        <v>0</v>
      </c>
      <c r="DB49" s="40">
        <v>94241253.400000006</v>
      </c>
      <c r="DC49" s="40">
        <f t="shared" si="19"/>
        <v>95690000</v>
      </c>
      <c r="DD49" s="40"/>
      <c r="DE49" s="85">
        <v>50571</v>
      </c>
      <c r="DG49" s="87"/>
      <c r="DJ49" s="40">
        <f t="shared" si="8"/>
        <v>0</v>
      </c>
      <c r="DK49" s="40"/>
      <c r="DL49" s="85">
        <v>50571</v>
      </c>
      <c r="DR49" s="85">
        <v>50571</v>
      </c>
      <c r="DV49" s="40">
        <f t="shared" si="20"/>
        <v>0</v>
      </c>
      <c r="DX49" s="85">
        <v>50571</v>
      </c>
      <c r="EB49" s="40">
        <f t="shared" si="21"/>
        <v>0</v>
      </c>
      <c r="ED49" s="85">
        <v>50571</v>
      </c>
      <c r="EI49" s="40">
        <f t="shared" si="22"/>
        <v>0</v>
      </c>
      <c r="EK49" s="85">
        <v>50571</v>
      </c>
      <c r="EP49" s="40">
        <f t="shared" si="23"/>
        <v>0</v>
      </c>
      <c r="ER49" s="85">
        <v>50571</v>
      </c>
      <c r="EW49" s="40">
        <f t="shared" si="24"/>
        <v>0</v>
      </c>
      <c r="EY49" s="85">
        <v>50571</v>
      </c>
      <c r="FD49" s="40">
        <f t="shared" si="25"/>
        <v>0</v>
      </c>
    </row>
    <row r="50" spans="1:160" x14ac:dyDescent="0.4">
      <c r="A50" s="118">
        <f t="shared" si="28"/>
        <v>57511</v>
      </c>
      <c r="B50" s="85">
        <v>57526</v>
      </c>
      <c r="C50" s="86">
        <f t="shared" si="9"/>
        <v>347248625</v>
      </c>
      <c r="D50" s="40">
        <f t="shared" si="10"/>
        <v>0</v>
      </c>
      <c r="F50" s="85">
        <v>50770</v>
      </c>
      <c r="G50" s="85"/>
      <c r="H50" s="85">
        <v>50754</v>
      </c>
      <c r="I50" s="40"/>
      <c r="O50" s="85">
        <v>50770</v>
      </c>
      <c r="P50" s="85"/>
      <c r="Q50" s="85">
        <v>50754</v>
      </c>
      <c r="R50" s="40">
        <f t="shared" si="29"/>
        <v>5990942.8499999996</v>
      </c>
      <c r="S50" s="40">
        <f t="shared" si="30"/>
        <v>39230928.75</v>
      </c>
      <c r="T50" s="40">
        <f t="shared" si="31"/>
        <v>161204057.14999998</v>
      </c>
      <c r="U50" s="40">
        <f t="shared" si="32"/>
        <v>0</v>
      </c>
      <c r="V50" s="40">
        <f t="shared" si="26"/>
        <v>206425928.74999997</v>
      </c>
      <c r="X50" s="85">
        <v>50754</v>
      </c>
      <c r="Y50" s="40"/>
      <c r="Z50" s="101"/>
      <c r="AA50" s="40"/>
      <c r="AB50" s="101"/>
      <c r="AC50" s="40">
        <f t="shared" si="27"/>
        <v>19862625</v>
      </c>
      <c r="AD50" s="40"/>
      <c r="AE50" s="40"/>
      <c r="AF50" s="40">
        <f t="shared" si="11"/>
        <v>19862625</v>
      </c>
      <c r="AH50" s="85">
        <v>50754</v>
      </c>
      <c r="AI50" s="40"/>
      <c r="AJ50" s="101"/>
      <c r="AK50" s="40"/>
      <c r="AL50" s="40"/>
      <c r="AM50" s="40"/>
      <c r="AN50" s="40">
        <f t="shared" si="33"/>
        <v>0</v>
      </c>
      <c r="AP50" s="85">
        <v>50754</v>
      </c>
      <c r="AQ50" s="40">
        <v>0</v>
      </c>
      <c r="AR50" s="101"/>
      <c r="AS50" s="40">
        <v>4750125</v>
      </c>
      <c r="AT50" s="40">
        <v>0</v>
      </c>
      <c r="AU50" s="40"/>
      <c r="AV50" s="40">
        <f t="shared" si="12"/>
        <v>4750125</v>
      </c>
      <c r="AX50" s="85">
        <v>50754</v>
      </c>
      <c r="AY50" s="40">
        <v>1995321.3</v>
      </c>
      <c r="AZ50" s="101">
        <v>4.8500000000000001E-2</v>
      </c>
      <c r="BA50" s="40">
        <v>1176116.25</v>
      </c>
      <c r="BB50" s="40">
        <v>1819678.7</v>
      </c>
      <c r="BC50" s="40">
        <f t="shared" si="13"/>
        <v>4991116.25</v>
      </c>
      <c r="BE50" s="85">
        <v>50754</v>
      </c>
      <c r="BF50" s="40">
        <v>0</v>
      </c>
      <c r="BG50" s="40"/>
      <c r="BH50" s="40">
        <v>3425625</v>
      </c>
      <c r="BI50" s="40">
        <v>0</v>
      </c>
      <c r="BJ50" s="40">
        <f t="shared" si="14"/>
        <v>3425625</v>
      </c>
      <c r="BL50" s="85">
        <v>50754</v>
      </c>
      <c r="BM50" s="40">
        <v>1685000</v>
      </c>
      <c r="BN50" s="101">
        <v>0.05</v>
      </c>
      <c r="BO50" s="40">
        <v>1244500</v>
      </c>
      <c r="BP50" s="40">
        <f t="shared" si="15"/>
        <v>2929500</v>
      </c>
      <c r="BR50" s="85">
        <v>50754</v>
      </c>
      <c r="BS50" s="40">
        <v>0</v>
      </c>
      <c r="BT50" s="87">
        <v>0</v>
      </c>
      <c r="BU50" s="40">
        <f t="shared" si="5"/>
        <v>2426875</v>
      </c>
      <c r="BV50" s="40">
        <f t="shared" si="16"/>
        <v>2426875</v>
      </c>
      <c r="BX50" s="85">
        <v>50754</v>
      </c>
      <c r="BY50" s="40">
        <v>0</v>
      </c>
      <c r="BZ50" s="87">
        <v>0</v>
      </c>
      <c r="CA50" s="40">
        <v>6345062.5</v>
      </c>
      <c r="CB50" s="40">
        <v>0</v>
      </c>
      <c r="CC50" s="40">
        <f t="shared" si="6"/>
        <v>6345062.5</v>
      </c>
      <c r="CD50" s="67"/>
      <c r="CE50" s="85">
        <v>50754</v>
      </c>
      <c r="CG50" s="87"/>
      <c r="CJ50" s="67"/>
      <c r="CK50" s="85">
        <v>50754</v>
      </c>
      <c r="CL50" s="40"/>
      <c r="CM50" s="87"/>
      <c r="CN50" s="40"/>
      <c r="CO50" s="40">
        <v>0</v>
      </c>
      <c r="CP50" s="40">
        <f t="shared" si="17"/>
        <v>0</v>
      </c>
      <c r="CQ50" s="67"/>
      <c r="CR50" s="85">
        <v>50754</v>
      </c>
      <c r="CS50" s="40"/>
      <c r="CT50" s="87"/>
      <c r="CU50" s="40"/>
      <c r="CV50" s="40">
        <f t="shared" si="18"/>
        <v>0</v>
      </c>
      <c r="CW50" s="67"/>
      <c r="CX50" s="85">
        <v>50754</v>
      </c>
      <c r="CY50" s="40">
        <v>2310621.5499999998</v>
      </c>
      <c r="CZ50" s="87"/>
      <c r="DA50" s="40">
        <v>0</v>
      </c>
      <c r="DB50" s="40">
        <v>159384378.44999999</v>
      </c>
      <c r="DC50" s="40">
        <f t="shared" si="19"/>
        <v>161695000</v>
      </c>
      <c r="DD50" s="40"/>
      <c r="DE50" s="85">
        <v>50754</v>
      </c>
      <c r="DG50" s="87"/>
      <c r="DJ50" s="40">
        <f t="shared" si="8"/>
        <v>0</v>
      </c>
      <c r="DK50" s="40"/>
      <c r="DL50" s="85">
        <v>50754</v>
      </c>
      <c r="DR50" s="85">
        <v>50754</v>
      </c>
      <c r="DV50" s="40">
        <f t="shared" si="20"/>
        <v>0</v>
      </c>
      <c r="DX50" s="85">
        <v>50754</v>
      </c>
      <c r="EB50" s="40">
        <f t="shared" si="21"/>
        <v>0</v>
      </c>
      <c r="ED50" s="85">
        <v>50754</v>
      </c>
      <c r="EI50" s="40">
        <f t="shared" si="22"/>
        <v>0</v>
      </c>
      <c r="EK50" s="85">
        <v>50754</v>
      </c>
      <c r="EP50" s="40">
        <f t="shared" si="23"/>
        <v>0</v>
      </c>
      <c r="ER50" s="85">
        <v>50754</v>
      </c>
      <c r="EW50" s="40">
        <f t="shared" si="24"/>
        <v>0</v>
      </c>
      <c r="EY50" s="85">
        <v>50754</v>
      </c>
      <c r="FD50" s="40">
        <f t="shared" si="25"/>
        <v>0</v>
      </c>
    </row>
    <row r="51" spans="1:160" x14ac:dyDescent="0.4">
      <c r="A51" s="118">
        <f t="shared" si="28"/>
        <v>57876</v>
      </c>
      <c r="B51" s="85">
        <v>57891</v>
      </c>
      <c r="C51" s="86">
        <f t="shared" si="9"/>
        <v>0</v>
      </c>
      <c r="D51" s="40">
        <f t="shared" si="10"/>
        <v>0</v>
      </c>
      <c r="F51" s="85">
        <v>50951</v>
      </c>
      <c r="G51" s="85"/>
      <c r="H51" s="85">
        <v>50936</v>
      </c>
      <c r="I51" s="40">
        <f>SUM(Y50:Y51,AA50:AA51,AI50:AI51,AQ50:AQ51,AY50:AY51,BF50:BF51,BM50:BM51,BS50:BS51,BY50:BY51,CF50:CF51,CL50:CL51,CS50:CS51,CY50:CY51,DF50:DF51,DM50:DM51,DS50:DS51,DY50:DY51,EE50:EE51,EL50:EL51,ES50:ES51,EZ50:EZ51)</f>
        <v>8145844.0499999998</v>
      </c>
      <c r="J51" s="40">
        <f>SUM(AC50:AC51,AK50:AK51,AS50:AS51,BA50:BA51,BH50:BH51,BO50:BO51,BU50:BU51,CA50:CA51,CH50:CH51,CN50:CN51,CU50:CU51,DA50:DA51,DH50:DH51,DO50:DO51,DU50:DU51,EA50:EA51,EG50:EG51,EN50:EN51,EU50:EU51,FB50:FB51)</f>
        <v>78327218.75</v>
      </c>
      <c r="K51" s="40">
        <f>SUM(AD50:AD51,AL50:AL51,AT50:AT51,BB50:BB51,BI50:BI51,CB50:CB51,CO50:CO51,DB50:DB51,DI50:DI51,EH50:EH51,EO50:EO51,EV50:EV51,FC50:FC51)</f>
        <v>255604155.94999999</v>
      </c>
      <c r="L51" s="40">
        <f>SUM(AE50:AE51,AM50:AM51,AU50:AU51)</f>
        <v>0</v>
      </c>
      <c r="M51" s="40">
        <f>SUM(I51:L51)</f>
        <v>342077218.75</v>
      </c>
      <c r="O51" s="85">
        <v>50951</v>
      </c>
      <c r="P51" s="85"/>
      <c r="Q51" s="85">
        <v>50936</v>
      </c>
      <c r="R51" s="40">
        <f t="shared" si="29"/>
        <v>2154901.2000000002</v>
      </c>
      <c r="S51" s="40">
        <f t="shared" si="30"/>
        <v>39096290</v>
      </c>
      <c r="T51" s="40">
        <f t="shared" si="31"/>
        <v>94400098.799999997</v>
      </c>
      <c r="U51" s="40">
        <f t="shared" si="32"/>
        <v>0</v>
      </c>
      <c r="V51" s="40">
        <f t="shared" si="26"/>
        <v>135651290</v>
      </c>
      <c r="X51" s="85">
        <v>50936</v>
      </c>
      <c r="Y51" s="40"/>
      <c r="Z51" s="101"/>
      <c r="AA51" s="40"/>
      <c r="AB51" s="101"/>
      <c r="AC51" s="40">
        <f t="shared" si="27"/>
        <v>19862625</v>
      </c>
      <c r="AD51" s="40"/>
      <c r="AE51" s="40"/>
      <c r="AF51" s="40">
        <f t="shared" si="11"/>
        <v>19862625</v>
      </c>
      <c r="AH51" s="85">
        <v>50936</v>
      </c>
      <c r="AI51" s="40"/>
      <c r="AJ51" s="101"/>
      <c r="AK51" s="40"/>
      <c r="AL51" s="40"/>
      <c r="AM51" s="40"/>
      <c r="AN51" s="40">
        <f t="shared" si="33"/>
        <v>0</v>
      </c>
      <c r="AP51" s="85">
        <v>50936</v>
      </c>
      <c r="AQ51" s="40">
        <v>0</v>
      </c>
      <c r="AR51" s="101"/>
      <c r="AS51" s="40">
        <v>4750125</v>
      </c>
      <c r="AT51" s="40">
        <v>0</v>
      </c>
      <c r="AU51" s="40"/>
      <c r="AV51" s="40">
        <f t="shared" si="12"/>
        <v>4750125</v>
      </c>
      <c r="AX51" s="85">
        <v>50936</v>
      </c>
      <c r="AY51" s="40">
        <v>0</v>
      </c>
      <c r="BA51" s="40">
        <v>1083602.5</v>
      </c>
      <c r="BB51" s="40">
        <v>0</v>
      </c>
      <c r="BC51" s="40">
        <f t="shared" si="13"/>
        <v>1083602.5</v>
      </c>
      <c r="BE51" s="85">
        <v>50936</v>
      </c>
      <c r="BF51" s="40">
        <v>0</v>
      </c>
      <c r="BG51" s="40"/>
      <c r="BH51" s="40">
        <v>3425625</v>
      </c>
      <c r="BI51" s="40">
        <v>0</v>
      </c>
      <c r="BJ51" s="40">
        <f t="shared" si="14"/>
        <v>3425625</v>
      </c>
      <c r="BL51" s="85">
        <v>50936</v>
      </c>
      <c r="BM51" s="40">
        <v>865000</v>
      </c>
      <c r="BN51" s="101">
        <v>0.05</v>
      </c>
      <c r="BO51" s="40">
        <v>1202375</v>
      </c>
      <c r="BP51" s="40">
        <f t="shared" si="15"/>
        <v>2067375</v>
      </c>
      <c r="BR51" s="85">
        <v>50936</v>
      </c>
      <c r="BS51" s="40">
        <v>0</v>
      </c>
      <c r="BT51" s="87">
        <v>0</v>
      </c>
      <c r="BU51" s="40">
        <f t="shared" si="5"/>
        <v>2426875</v>
      </c>
      <c r="BV51" s="40">
        <f t="shared" si="16"/>
        <v>2426875</v>
      </c>
      <c r="BX51" s="85">
        <v>50936</v>
      </c>
      <c r="BY51" s="40">
        <v>0</v>
      </c>
      <c r="BZ51" s="87">
        <v>0</v>
      </c>
      <c r="CA51" s="40">
        <v>6345062.5</v>
      </c>
      <c r="CB51" s="40">
        <v>0</v>
      </c>
      <c r="CC51" s="40">
        <f t="shared" si="6"/>
        <v>6345062.5</v>
      </c>
      <c r="CD51" s="67"/>
      <c r="CE51" s="85">
        <v>50936</v>
      </c>
      <c r="CG51" s="87"/>
      <c r="CJ51" s="67"/>
      <c r="CK51" s="85">
        <v>50936</v>
      </c>
      <c r="CL51" s="40"/>
      <c r="CM51" s="87"/>
      <c r="CN51" s="40"/>
      <c r="CO51" s="40">
        <v>0</v>
      </c>
      <c r="CP51" s="40">
        <f t="shared" si="17"/>
        <v>0</v>
      </c>
      <c r="CQ51" s="67"/>
      <c r="CR51" s="85">
        <v>50936</v>
      </c>
      <c r="CS51" s="40"/>
      <c r="CT51" s="87"/>
      <c r="CU51" s="40"/>
      <c r="CV51" s="40">
        <f t="shared" si="18"/>
        <v>0</v>
      </c>
      <c r="CW51" s="67"/>
      <c r="CX51" s="85">
        <v>50936</v>
      </c>
      <c r="CY51" s="40">
        <v>1289901.2</v>
      </c>
      <c r="CZ51" s="87"/>
      <c r="DA51" s="40">
        <v>0</v>
      </c>
      <c r="DB51" s="40">
        <v>94400098.799999997</v>
      </c>
      <c r="DC51" s="40">
        <f t="shared" si="19"/>
        <v>95690000</v>
      </c>
      <c r="DD51" s="40"/>
      <c r="DE51" s="85">
        <v>50936</v>
      </c>
      <c r="DG51" s="87"/>
      <c r="DJ51" s="40">
        <f t="shared" si="8"/>
        <v>0</v>
      </c>
      <c r="DK51" s="40"/>
      <c r="DL51" s="85">
        <v>50936</v>
      </c>
      <c r="DR51" s="85">
        <v>50936</v>
      </c>
      <c r="DV51" s="40">
        <f t="shared" si="20"/>
        <v>0</v>
      </c>
      <c r="DX51" s="85">
        <v>50936</v>
      </c>
      <c r="EB51" s="40">
        <f t="shared" si="21"/>
        <v>0</v>
      </c>
      <c r="ED51" s="85">
        <v>50936</v>
      </c>
      <c r="EI51" s="40">
        <f t="shared" si="22"/>
        <v>0</v>
      </c>
      <c r="EK51" s="85">
        <v>50936</v>
      </c>
      <c r="EP51" s="40">
        <f t="shared" si="23"/>
        <v>0</v>
      </c>
      <c r="ER51" s="85">
        <v>50936</v>
      </c>
      <c r="EW51" s="40">
        <f t="shared" si="24"/>
        <v>0</v>
      </c>
      <c r="EY51" s="85">
        <v>50936</v>
      </c>
      <c r="FD51" s="40">
        <f t="shared" si="25"/>
        <v>0</v>
      </c>
    </row>
    <row r="52" spans="1:160" x14ac:dyDescent="0.4">
      <c r="A52" s="118">
        <f t="shared" si="28"/>
        <v>58241</v>
      </c>
      <c r="B52" s="85">
        <v>58256</v>
      </c>
      <c r="C52" s="86">
        <f t="shared" si="9"/>
        <v>0</v>
      </c>
      <c r="D52" s="40">
        <f t="shared" si="10"/>
        <v>0</v>
      </c>
      <c r="F52" s="85">
        <v>51135</v>
      </c>
      <c r="G52" s="85"/>
      <c r="H52" s="85">
        <v>51119</v>
      </c>
      <c r="I52" s="40"/>
      <c r="O52" s="85">
        <v>51135</v>
      </c>
      <c r="P52" s="85"/>
      <c r="Q52" s="85">
        <v>51119</v>
      </c>
      <c r="R52" s="40">
        <f t="shared" si="29"/>
        <v>5897223.4500000002</v>
      </c>
      <c r="S52" s="40">
        <f t="shared" si="30"/>
        <v>39074665</v>
      </c>
      <c r="T52" s="40">
        <f t="shared" si="31"/>
        <v>161547776.55000001</v>
      </c>
      <c r="U52" s="40">
        <f t="shared" si="32"/>
        <v>0</v>
      </c>
      <c r="V52" s="40">
        <f t="shared" si="26"/>
        <v>206519665</v>
      </c>
      <c r="X52" s="85">
        <v>51119</v>
      </c>
      <c r="Y52" s="40"/>
      <c r="Z52" s="101"/>
      <c r="AA52" s="40"/>
      <c r="AB52" s="101"/>
      <c r="AC52" s="40">
        <f t="shared" si="27"/>
        <v>19862625</v>
      </c>
      <c r="AD52" s="40"/>
      <c r="AE52" s="40"/>
      <c r="AF52" s="40">
        <f t="shared" si="11"/>
        <v>19862625</v>
      </c>
      <c r="AH52" s="85">
        <v>51119</v>
      </c>
      <c r="AI52" s="40"/>
      <c r="AJ52" s="101"/>
      <c r="AK52" s="40"/>
      <c r="AL52" s="40"/>
      <c r="AM52" s="40"/>
      <c r="AN52" s="40">
        <f t="shared" si="33"/>
        <v>0</v>
      </c>
      <c r="AP52" s="85">
        <v>51119</v>
      </c>
      <c r="AQ52" s="40">
        <v>0</v>
      </c>
      <c r="AR52" s="101"/>
      <c r="AS52" s="40">
        <v>4750125</v>
      </c>
      <c r="AT52" s="40">
        <v>0</v>
      </c>
      <c r="AU52" s="40"/>
      <c r="AV52" s="40">
        <f t="shared" si="12"/>
        <v>4750125</v>
      </c>
      <c r="AX52" s="85">
        <v>51119</v>
      </c>
      <c r="AY52" s="40">
        <v>2092080</v>
      </c>
      <c r="AZ52" s="101">
        <v>4.8500000000000001E-2</v>
      </c>
      <c r="BA52" s="40">
        <v>1083602.5</v>
      </c>
      <c r="BB52" s="40">
        <v>1907920</v>
      </c>
      <c r="BC52" s="40">
        <f t="shared" si="13"/>
        <v>5083602.5</v>
      </c>
      <c r="BE52" s="85">
        <v>51119</v>
      </c>
      <c r="BF52" s="40">
        <v>0</v>
      </c>
      <c r="BG52" s="40"/>
      <c r="BH52" s="40">
        <v>3425625</v>
      </c>
      <c r="BI52" s="40">
        <v>0</v>
      </c>
      <c r="BJ52" s="40">
        <f t="shared" si="14"/>
        <v>3425625</v>
      </c>
      <c r="BL52" s="85">
        <v>51119</v>
      </c>
      <c r="BM52" s="40">
        <v>1750000</v>
      </c>
      <c r="BN52" s="101">
        <v>0.05</v>
      </c>
      <c r="BO52" s="40">
        <v>1180750</v>
      </c>
      <c r="BP52" s="40">
        <f t="shared" si="15"/>
        <v>2930750</v>
      </c>
      <c r="BR52" s="85">
        <v>51119</v>
      </c>
      <c r="BS52" s="40">
        <v>0</v>
      </c>
      <c r="BT52" s="87">
        <v>0</v>
      </c>
      <c r="BU52" s="40">
        <f t="shared" si="5"/>
        <v>2426875</v>
      </c>
      <c r="BV52" s="40">
        <f t="shared" si="16"/>
        <v>2426875</v>
      </c>
      <c r="BX52" s="85">
        <v>51119</v>
      </c>
      <c r="BY52" s="40">
        <v>0</v>
      </c>
      <c r="BZ52" s="87">
        <v>0</v>
      </c>
      <c r="CA52" s="40">
        <v>6345062.5</v>
      </c>
      <c r="CB52" s="40">
        <v>0</v>
      </c>
      <c r="CC52" s="40">
        <f t="shared" si="6"/>
        <v>6345062.5</v>
      </c>
      <c r="CD52" s="67"/>
      <c r="CE52" s="85">
        <v>51119</v>
      </c>
      <c r="CG52" s="87"/>
      <c r="CJ52" s="67"/>
      <c r="CK52" s="85">
        <v>51119</v>
      </c>
      <c r="CL52" s="40"/>
      <c r="CM52" s="87"/>
      <c r="CN52" s="40"/>
      <c r="CO52" s="40">
        <v>0</v>
      </c>
      <c r="CP52" s="40">
        <f t="shared" si="17"/>
        <v>0</v>
      </c>
      <c r="CQ52" s="67"/>
      <c r="CR52" s="85">
        <v>51119</v>
      </c>
      <c r="CS52" s="40"/>
      <c r="CT52" s="87"/>
      <c r="CU52" s="40"/>
      <c r="CV52" s="40">
        <f t="shared" si="18"/>
        <v>0</v>
      </c>
      <c r="CW52" s="67"/>
      <c r="CX52" s="85">
        <v>51119</v>
      </c>
      <c r="CY52" s="40">
        <v>2055143.45</v>
      </c>
      <c r="CZ52" s="87"/>
      <c r="DA52" s="40">
        <v>0</v>
      </c>
      <c r="DB52" s="40">
        <v>159639856.55000001</v>
      </c>
      <c r="DC52" s="40">
        <f t="shared" si="19"/>
        <v>161695000</v>
      </c>
      <c r="DD52" s="40"/>
      <c r="DE52" s="85">
        <v>51119</v>
      </c>
      <c r="DG52" s="87"/>
      <c r="DJ52" s="40">
        <f t="shared" si="8"/>
        <v>0</v>
      </c>
      <c r="DK52" s="40"/>
      <c r="DL52" s="85">
        <v>51119</v>
      </c>
      <c r="DR52" s="85">
        <v>51119</v>
      </c>
      <c r="DV52" s="40">
        <f t="shared" si="20"/>
        <v>0</v>
      </c>
      <c r="DX52" s="85">
        <v>51119</v>
      </c>
      <c r="EB52" s="40">
        <f t="shared" si="21"/>
        <v>0</v>
      </c>
      <c r="ED52" s="85">
        <v>51119</v>
      </c>
      <c r="EI52" s="40">
        <f t="shared" si="22"/>
        <v>0</v>
      </c>
      <c r="EK52" s="85">
        <v>51119</v>
      </c>
      <c r="EP52" s="40">
        <f t="shared" si="23"/>
        <v>0</v>
      </c>
      <c r="ER52" s="85">
        <v>51119</v>
      </c>
      <c r="EW52" s="40">
        <f t="shared" si="24"/>
        <v>0</v>
      </c>
      <c r="EY52" s="85">
        <v>51119</v>
      </c>
      <c r="FD52" s="40">
        <f t="shared" si="25"/>
        <v>0</v>
      </c>
    </row>
    <row r="53" spans="1:160" x14ac:dyDescent="0.4">
      <c r="A53" s="118">
        <f t="shared" si="28"/>
        <v>58607</v>
      </c>
      <c r="B53" s="85">
        <v>58622</v>
      </c>
      <c r="C53" s="86">
        <f t="shared" si="9"/>
        <v>0</v>
      </c>
      <c r="D53" s="40">
        <f t="shared" si="10"/>
        <v>0</v>
      </c>
      <c r="F53" s="85">
        <v>51317</v>
      </c>
      <c r="G53" s="85"/>
      <c r="H53" s="85">
        <v>51302</v>
      </c>
      <c r="I53" s="40">
        <f>SUM(Y52:Y53,AA52:AA53,AI52:AI53,AQ52:AQ53,AY52:AY53,BF52:BF53,BM52:BM53,BS52:BS53,BY52:BY53,CF52:CF53,CL52:CL53,CS52:CS53,CY52:CY53,DF52:DF53,DM52:DM53,DS52:DS53,DY52:DY53,EE52:EE53,EL52:EL53,ES52:ES53,EZ52:EZ53)</f>
        <v>7974546.5500000007</v>
      </c>
      <c r="J53" s="40">
        <f>SUM(AC52:AC53,AK52:AK53,AS52:AS53,BA52:BA53,BH52:BH53,BO52:BO53,BU52:BU53,CA52:CA53,CH52:CH53,CN52:CN53,CU52:CU53,DA52:DA53,DH52:DH53,DO52:DO53,DU52:DU53,EA52:EA53,EG52:EG53,EN52:EN53,EU52:EU53,FB52:FB53)</f>
        <v>78008580</v>
      </c>
      <c r="K53" s="40">
        <f>SUM(AD52:AD53,AL52:AL53,AT52:AT53,BB52:BB53,BI52:BI53,CB52:CB53,CO52:CO53,DB52:DB53,DI52:DI53,EH52:EH53,EO52:EO53,EV52:EV53,FC52:FC53)</f>
        <v>256090453.45000002</v>
      </c>
      <c r="L53" s="40">
        <f>SUM(AE52:AE53,AM52:AM53,AU52:AU53)</f>
        <v>0</v>
      </c>
      <c r="M53" s="40">
        <f>SUM(I53:L53)</f>
        <v>342073580</v>
      </c>
      <c r="O53" s="85">
        <v>51317</v>
      </c>
      <c r="P53" s="85"/>
      <c r="Q53" s="85">
        <v>51302</v>
      </c>
      <c r="R53" s="40">
        <f t="shared" si="29"/>
        <v>2077323.1</v>
      </c>
      <c r="S53" s="40">
        <f t="shared" si="30"/>
        <v>38933915</v>
      </c>
      <c r="T53" s="40">
        <f t="shared" si="31"/>
        <v>94542676.900000006</v>
      </c>
      <c r="U53" s="40">
        <f t="shared" si="32"/>
        <v>0</v>
      </c>
      <c r="V53" s="40">
        <f t="shared" si="26"/>
        <v>135553915</v>
      </c>
      <c r="X53" s="85">
        <v>51302</v>
      </c>
      <c r="Y53" s="40"/>
      <c r="Z53" s="101"/>
      <c r="AA53" s="40"/>
      <c r="AB53" s="101"/>
      <c r="AC53" s="40">
        <f t="shared" si="27"/>
        <v>19862625</v>
      </c>
      <c r="AD53" s="40"/>
      <c r="AE53" s="40"/>
      <c r="AF53" s="40">
        <f t="shared" si="11"/>
        <v>19862625</v>
      </c>
      <c r="AH53" s="85">
        <v>51302</v>
      </c>
      <c r="AI53" s="40"/>
      <c r="AJ53" s="101"/>
      <c r="AK53" s="40"/>
      <c r="AL53" s="40"/>
      <c r="AM53" s="40"/>
      <c r="AN53" s="40">
        <f t="shared" si="33"/>
        <v>0</v>
      </c>
      <c r="AP53" s="85">
        <v>51302</v>
      </c>
      <c r="AQ53" s="40">
        <v>0</v>
      </c>
      <c r="AR53" s="101"/>
      <c r="AS53" s="40">
        <v>4750125</v>
      </c>
      <c r="AT53" s="40">
        <v>0</v>
      </c>
      <c r="AU53" s="40"/>
      <c r="AV53" s="40">
        <f t="shared" si="12"/>
        <v>4750125</v>
      </c>
      <c r="AX53" s="85">
        <v>51302</v>
      </c>
      <c r="AY53" s="40">
        <v>0</v>
      </c>
      <c r="BA53" s="40">
        <v>986602.5</v>
      </c>
      <c r="BB53" s="40">
        <v>0</v>
      </c>
      <c r="BC53" s="40">
        <f t="shared" si="13"/>
        <v>986602.5</v>
      </c>
      <c r="BE53" s="85">
        <v>51302</v>
      </c>
      <c r="BF53" s="40">
        <v>0</v>
      </c>
      <c r="BG53" s="40"/>
      <c r="BH53" s="40">
        <v>3425625</v>
      </c>
      <c r="BI53" s="40">
        <v>0</v>
      </c>
      <c r="BJ53" s="40">
        <f t="shared" si="14"/>
        <v>3425625</v>
      </c>
      <c r="BL53" s="85">
        <v>51302</v>
      </c>
      <c r="BM53" s="40">
        <v>930000</v>
      </c>
      <c r="BN53" s="101">
        <v>0.05</v>
      </c>
      <c r="BO53" s="40">
        <v>1137000</v>
      </c>
      <c r="BP53" s="40">
        <f t="shared" si="15"/>
        <v>2067000</v>
      </c>
      <c r="BR53" s="85">
        <v>51302</v>
      </c>
      <c r="BS53" s="40">
        <v>0</v>
      </c>
      <c r="BT53" s="87">
        <v>0</v>
      </c>
      <c r="BU53" s="40">
        <f t="shared" si="5"/>
        <v>2426875</v>
      </c>
      <c r="BV53" s="40">
        <f t="shared" si="16"/>
        <v>2426875</v>
      </c>
      <c r="BX53" s="85">
        <v>51302</v>
      </c>
      <c r="BY53" s="40">
        <v>0</v>
      </c>
      <c r="BZ53" s="87">
        <v>0</v>
      </c>
      <c r="CA53" s="40">
        <v>6345062.5</v>
      </c>
      <c r="CB53" s="40">
        <v>0</v>
      </c>
      <c r="CC53" s="40">
        <f t="shared" si="6"/>
        <v>6345062.5</v>
      </c>
      <c r="CD53" s="67"/>
      <c r="CE53" s="85">
        <v>51302</v>
      </c>
      <c r="CG53" s="87"/>
      <c r="CJ53" s="67"/>
      <c r="CK53" s="85">
        <v>51302</v>
      </c>
      <c r="CL53" s="40"/>
      <c r="CM53" s="87"/>
      <c r="CN53" s="40"/>
      <c r="CO53" s="40">
        <v>0</v>
      </c>
      <c r="CP53" s="40">
        <f t="shared" si="17"/>
        <v>0</v>
      </c>
      <c r="CQ53" s="67"/>
      <c r="CR53" s="85">
        <v>51302</v>
      </c>
      <c r="CS53" s="40"/>
      <c r="CT53" s="87"/>
      <c r="CU53" s="40"/>
      <c r="CV53" s="40">
        <f t="shared" si="18"/>
        <v>0</v>
      </c>
      <c r="CW53" s="67"/>
      <c r="CX53" s="85">
        <v>51302</v>
      </c>
      <c r="CY53" s="40">
        <v>1147323.1000000001</v>
      </c>
      <c r="CZ53" s="87"/>
      <c r="DA53" s="40">
        <v>0</v>
      </c>
      <c r="DB53" s="40">
        <v>94542676.900000006</v>
      </c>
      <c r="DC53" s="40">
        <f t="shared" si="19"/>
        <v>95690000</v>
      </c>
      <c r="DD53" s="40"/>
      <c r="DE53" s="85">
        <v>51302</v>
      </c>
      <c r="DG53" s="87"/>
      <c r="DJ53" s="40">
        <f t="shared" si="8"/>
        <v>0</v>
      </c>
      <c r="DK53" s="40"/>
      <c r="DL53" s="85">
        <v>51302</v>
      </c>
      <c r="DR53" s="85">
        <v>51302</v>
      </c>
      <c r="DV53" s="40">
        <f t="shared" si="20"/>
        <v>0</v>
      </c>
      <c r="DX53" s="85">
        <v>51302</v>
      </c>
      <c r="EB53" s="40">
        <f t="shared" si="21"/>
        <v>0</v>
      </c>
      <c r="ED53" s="85">
        <v>51302</v>
      </c>
      <c r="EI53" s="40">
        <f t="shared" si="22"/>
        <v>0</v>
      </c>
      <c r="EK53" s="85">
        <v>51302</v>
      </c>
      <c r="EP53" s="40">
        <f t="shared" si="23"/>
        <v>0</v>
      </c>
      <c r="ER53" s="85">
        <v>51302</v>
      </c>
      <c r="EW53" s="40">
        <f t="shared" si="24"/>
        <v>0</v>
      </c>
      <c r="EY53" s="85">
        <v>51302</v>
      </c>
      <c r="FD53" s="40">
        <f t="shared" si="25"/>
        <v>0</v>
      </c>
    </row>
    <row r="54" spans="1:160" x14ac:dyDescent="0.4">
      <c r="F54" s="85">
        <v>51501</v>
      </c>
      <c r="G54" s="85"/>
      <c r="H54" s="85">
        <v>51485</v>
      </c>
      <c r="I54" s="40"/>
      <c r="O54" s="85">
        <v>51501</v>
      </c>
      <c r="P54" s="85"/>
      <c r="Q54" s="85">
        <v>51485</v>
      </c>
      <c r="R54" s="40">
        <f t="shared" si="29"/>
        <v>5842839.3499999996</v>
      </c>
      <c r="S54" s="40">
        <f t="shared" si="30"/>
        <v>38910665</v>
      </c>
      <c r="T54" s="40">
        <f t="shared" si="31"/>
        <v>161867160.65000001</v>
      </c>
      <c r="U54" s="40">
        <f t="shared" si="32"/>
        <v>0</v>
      </c>
      <c r="V54" s="40">
        <f t="shared" si="26"/>
        <v>206620665</v>
      </c>
      <c r="X54" s="85">
        <v>51485</v>
      </c>
      <c r="Y54" s="40"/>
      <c r="Z54" s="101"/>
      <c r="AA54" s="40"/>
      <c r="AB54" s="101"/>
      <c r="AC54" s="40">
        <f t="shared" si="27"/>
        <v>19862625</v>
      </c>
      <c r="AD54" s="40"/>
      <c r="AE54" s="40"/>
      <c r="AF54" s="40">
        <f t="shared" si="11"/>
        <v>19862625</v>
      </c>
      <c r="AH54" s="85">
        <v>51485</v>
      </c>
      <c r="AI54" s="40"/>
      <c r="AJ54" s="101"/>
      <c r="AK54" s="40"/>
      <c r="AL54" s="40"/>
      <c r="AM54" s="40"/>
      <c r="AN54" s="40">
        <f t="shared" si="33"/>
        <v>0</v>
      </c>
      <c r="AP54" s="85">
        <v>51485</v>
      </c>
      <c r="AQ54" s="40">
        <v>0</v>
      </c>
      <c r="AR54" s="101"/>
      <c r="AS54" s="40">
        <v>4750125</v>
      </c>
      <c r="AT54" s="40">
        <v>0</v>
      </c>
      <c r="AU54" s="40"/>
      <c r="AV54" s="40">
        <f t="shared" si="12"/>
        <v>4750125</v>
      </c>
      <c r="AX54" s="85">
        <v>51485</v>
      </c>
      <c r="AY54" s="40">
        <v>2194068.9</v>
      </c>
      <c r="AZ54" s="101">
        <v>4.8500000000000001E-2</v>
      </c>
      <c r="BA54" s="40">
        <v>986602.5</v>
      </c>
      <c r="BB54" s="40">
        <v>2000931.1</v>
      </c>
      <c r="BC54" s="40">
        <f t="shared" si="13"/>
        <v>5181602.5</v>
      </c>
      <c r="BE54" s="85">
        <v>51485</v>
      </c>
      <c r="BF54" s="40">
        <v>0</v>
      </c>
      <c r="BG54" s="40"/>
      <c r="BH54" s="40">
        <v>3425625</v>
      </c>
      <c r="BI54" s="40">
        <v>0</v>
      </c>
      <c r="BJ54" s="40">
        <f t="shared" si="14"/>
        <v>3425625</v>
      </c>
      <c r="BL54" s="85">
        <v>51485</v>
      </c>
      <c r="BM54" s="40">
        <v>1820000</v>
      </c>
      <c r="BN54" s="101">
        <v>0.05</v>
      </c>
      <c r="BO54" s="40">
        <v>1113750</v>
      </c>
      <c r="BP54" s="40">
        <f t="shared" si="15"/>
        <v>2933750</v>
      </c>
      <c r="BR54" s="85">
        <v>51485</v>
      </c>
      <c r="BS54" s="40">
        <v>0</v>
      </c>
      <c r="BT54" s="87">
        <v>0</v>
      </c>
      <c r="BU54" s="40">
        <f t="shared" si="5"/>
        <v>2426875</v>
      </c>
      <c r="BV54" s="40">
        <f t="shared" si="16"/>
        <v>2426875</v>
      </c>
      <c r="BX54" s="85">
        <v>51485</v>
      </c>
      <c r="BY54" s="40">
        <v>0</v>
      </c>
      <c r="BZ54" s="87">
        <v>0</v>
      </c>
      <c r="CA54" s="40">
        <v>6345062.5</v>
      </c>
      <c r="CB54" s="40">
        <v>0</v>
      </c>
      <c r="CC54" s="40">
        <f t="shared" si="6"/>
        <v>6345062.5</v>
      </c>
      <c r="CD54" s="67"/>
      <c r="CE54" s="85">
        <v>51485</v>
      </c>
      <c r="CG54" s="87"/>
      <c r="CJ54" s="67"/>
      <c r="CK54" s="85">
        <v>51485</v>
      </c>
      <c r="CL54" s="40"/>
      <c r="CM54" s="87"/>
      <c r="CN54" s="40"/>
      <c r="CO54" s="40">
        <v>0</v>
      </c>
      <c r="CP54" s="40">
        <f t="shared" si="17"/>
        <v>0</v>
      </c>
      <c r="CQ54" s="67"/>
      <c r="CR54" s="85">
        <v>51485</v>
      </c>
      <c r="CS54" s="40"/>
      <c r="CT54" s="87"/>
      <c r="CU54" s="40"/>
      <c r="CV54" s="40">
        <f t="shared" si="18"/>
        <v>0</v>
      </c>
      <c r="CW54" s="67"/>
      <c r="CX54" s="85">
        <v>51485</v>
      </c>
      <c r="CY54" s="40">
        <v>1828770.45</v>
      </c>
      <c r="CZ54" s="87"/>
      <c r="DA54" s="40">
        <v>0</v>
      </c>
      <c r="DB54" s="40">
        <v>159866229.55000001</v>
      </c>
      <c r="DC54" s="40">
        <f t="shared" si="19"/>
        <v>161695000</v>
      </c>
      <c r="DD54" s="40"/>
      <c r="DE54" s="85">
        <v>51485</v>
      </c>
      <c r="DG54" s="87"/>
      <c r="DJ54" s="40">
        <f t="shared" si="8"/>
        <v>0</v>
      </c>
      <c r="DK54" s="40"/>
      <c r="DL54" s="85">
        <v>51485</v>
      </c>
      <c r="DR54" s="85">
        <v>51485</v>
      </c>
      <c r="DV54" s="40">
        <f t="shared" si="20"/>
        <v>0</v>
      </c>
      <c r="DX54" s="85">
        <v>51485</v>
      </c>
      <c r="EB54" s="40">
        <f t="shared" si="21"/>
        <v>0</v>
      </c>
      <c r="ED54" s="85">
        <v>51485</v>
      </c>
      <c r="EI54" s="40">
        <f t="shared" si="22"/>
        <v>0</v>
      </c>
      <c r="EK54" s="85">
        <v>51485</v>
      </c>
      <c r="EP54" s="40">
        <f t="shared" si="23"/>
        <v>0</v>
      </c>
      <c r="ER54" s="85">
        <v>51485</v>
      </c>
      <c r="EW54" s="40">
        <f t="shared" si="24"/>
        <v>0</v>
      </c>
      <c r="EY54" s="85">
        <v>51485</v>
      </c>
      <c r="FD54" s="40">
        <f t="shared" si="25"/>
        <v>0</v>
      </c>
    </row>
    <row r="55" spans="1:160" x14ac:dyDescent="0.4">
      <c r="F55" s="85">
        <v>51682</v>
      </c>
      <c r="G55" s="85"/>
      <c r="H55" s="85">
        <v>51667</v>
      </c>
      <c r="I55" s="40">
        <f>SUM(Y54:Y55,AA54:AA55,AI54:AI55,AQ54:AQ55,AY54:AY55,BF54:BF55,BM54:BM55,BS54:BS55,BY54:BY55,CF54:CF55,CL54:CL55,CS54:CS55,CY54:CY55,DF54:DF55,DM54:DM55,DS54:DS55,DY54:DY55,EE54:EE55,EL54:EL55,ES54:ES55,EZ54:EZ55)</f>
        <v>20635397.349999998</v>
      </c>
      <c r="J55" s="40">
        <f>SUM(AC54:AC55,AK54:AK55,AS54:AS55,BA54:BA55,BH54:BH55,BO54:BO55,BU54:BU55,CA54:CA55,CH54:CH55,CN54:CN55,CU54:CU55,DA54:DA55,DH54:DH55,DO54:DO55,DU54:DU55,EA54:EA55,EG54:EG55,EN54:EN55,EU54:EU55,FB54:FB55)</f>
        <v>77674101.25</v>
      </c>
      <c r="K55" s="40">
        <f>SUM(AD54:AD55,AL54:AL55,AT54:AT55,BB54:BB55,BI54:BI55,CB54:CB55,CO54:CO55,DB54:DB55,DI54:DI55,EH54:EH55,EO54:EO55,EV54:EV55,FC54:FC55)</f>
        <v>243764459.25</v>
      </c>
      <c r="L55" s="40">
        <f>SUM(AE54:AE55,AM54:AM55,AU54:AU55)</f>
        <v>0</v>
      </c>
      <c r="M55" s="40">
        <f>SUM(I55:L55)</f>
        <v>342073957.85000002</v>
      </c>
      <c r="O55" s="85">
        <v>51682</v>
      </c>
      <c r="P55" s="85"/>
      <c r="Q55" s="85">
        <v>51667</v>
      </c>
      <c r="R55" s="40">
        <f t="shared" si="29"/>
        <v>14792558</v>
      </c>
      <c r="S55" s="40">
        <f t="shared" si="30"/>
        <v>38763436.25</v>
      </c>
      <c r="T55" s="40">
        <f t="shared" si="31"/>
        <v>81897298.599999994</v>
      </c>
      <c r="U55" s="40">
        <f t="shared" si="32"/>
        <v>0</v>
      </c>
      <c r="V55" s="40">
        <f t="shared" si="26"/>
        <v>135453292.84999999</v>
      </c>
      <c r="X55" s="85">
        <v>51667</v>
      </c>
      <c r="Y55" s="40"/>
      <c r="Z55" s="101"/>
      <c r="AA55" s="40"/>
      <c r="AB55" s="101"/>
      <c r="AC55" s="40">
        <f t="shared" si="27"/>
        <v>19862625</v>
      </c>
      <c r="AD55" s="40"/>
      <c r="AE55" s="40"/>
      <c r="AF55" s="40">
        <f t="shared" si="11"/>
        <v>19862625</v>
      </c>
      <c r="AH55" s="85">
        <v>51667</v>
      </c>
      <c r="AI55" s="40"/>
      <c r="AJ55" s="101"/>
      <c r="AK55" s="40"/>
      <c r="AL55" s="40"/>
      <c r="AM55" s="40"/>
      <c r="AN55" s="40">
        <f t="shared" si="33"/>
        <v>0</v>
      </c>
      <c r="AP55" s="85">
        <v>51667</v>
      </c>
      <c r="AQ55" s="40">
        <v>0</v>
      </c>
      <c r="AR55" s="101"/>
      <c r="AS55" s="40">
        <v>4750125</v>
      </c>
      <c r="AT55" s="40">
        <v>0</v>
      </c>
      <c r="AU55" s="40"/>
      <c r="AV55" s="40">
        <f t="shared" si="12"/>
        <v>4750125</v>
      </c>
      <c r="AX55" s="85">
        <v>51667</v>
      </c>
      <c r="AY55" s="40">
        <v>0</v>
      </c>
      <c r="BA55" s="40">
        <v>884873.75</v>
      </c>
      <c r="BB55" s="40">
        <v>0</v>
      </c>
      <c r="BC55" s="40">
        <f t="shared" si="13"/>
        <v>884873.75</v>
      </c>
      <c r="BE55" s="85">
        <v>51667</v>
      </c>
      <c r="BF55" s="40">
        <v>0</v>
      </c>
      <c r="BG55" s="40"/>
      <c r="BH55" s="40">
        <v>3425625</v>
      </c>
      <c r="BI55" s="40">
        <v>0</v>
      </c>
      <c r="BJ55" s="40">
        <f t="shared" si="14"/>
        <v>3425625</v>
      </c>
      <c r="BL55" s="85">
        <v>51667</v>
      </c>
      <c r="BM55" s="40">
        <v>935000</v>
      </c>
      <c r="BN55" s="101">
        <v>0.05</v>
      </c>
      <c r="BO55" s="40">
        <v>1068250</v>
      </c>
      <c r="BP55" s="40">
        <f t="shared" si="15"/>
        <v>2003250</v>
      </c>
      <c r="BR55" s="85">
        <v>51667</v>
      </c>
      <c r="BS55" s="40">
        <v>0</v>
      </c>
      <c r="BT55" s="87">
        <v>0</v>
      </c>
      <c r="BU55" s="40">
        <f t="shared" si="5"/>
        <v>2426875</v>
      </c>
      <c r="BV55" s="40">
        <f t="shared" si="16"/>
        <v>2426875</v>
      </c>
      <c r="BX55" s="85">
        <v>51667</v>
      </c>
      <c r="BY55" s="40">
        <v>13519105.6</v>
      </c>
      <c r="BZ55" s="87">
        <v>5.45E-2</v>
      </c>
      <c r="CA55" s="40">
        <v>6345062.5</v>
      </c>
      <c r="CB55" s="40">
        <v>50515751</v>
      </c>
      <c r="CC55" s="40">
        <f t="shared" si="6"/>
        <v>70379919.099999994</v>
      </c>
      <c r="CD55" s="67"/>
      <c r="CE55" s="85">
        <v>51667</v>
      </c>
      <c r="CG55" s="87"/>
      <c r="CJ55" s="67"/>
      <c r="CK55" s="85">
        <v>51667</v>
      </c>
      <c r="CL55" s="40"/>
      <c r="CM55" s="87"/>
      <c r="CN55" s="40"/>
      <c r="CO55" s="40">
        <v>0</v>
      </c>
      <c r="CP55" s="40">
        <f t="shared" si="17"/>
        <v>0</v>
      </c>
      <c r="CQ55" s="67"/>
      <c r="CR55" s="85">
        <v>51667</v>
      </c>
      <c r="CS55" s="40"/>
      <c r="CT55" s="87"/>
      <c r="CU55" s="40"/>
      <c r="CV55" s="40">
        <f t="shared" si="18"/>
        <v>0</v>
      </c>
      <c r="CW55" s="67"/>
      <c r="CX55" s="85">
        <v>51667</v>
      </c>
      <c r="CY55" s="40">
        <v>338452.4</v>
      </c>
      <c r="CZ55" s="87"/>
      <c r="DA55" s="40">
        <v>0</v>
      </c>
      <c r="DB55" s="40">
        <v>31381547.600000001</v>
      </c>
      <c r="DC55" s="40">
        <f t="shared" si="19"/>
        <v>31720000</v>
      </c>
      <c r="DD55" s="40"/>
      <c r="DE55" s="85">
        <v>51667</v>
      </c>
      <c r="DG55" s="87"/>
      <c r="DJ55" s="40">
        <f t="shared" si="8"/>
        <v>0</v>
      </c>
      <c r="DK55" s="40"/>
      <c r="DL55" s="85">
        <v>51667</v>
      </c>
      <c r="DR55" s="85">
        <v>51667</v>
      </c>
      <c r="DV55" s="40">
        <f t="shared" si="20"/>
        <v>0</v>
      </c>
      <c r="DX55" s="85">
        <v>51667</v>
      </c>
      <c r="EB55" s="40">
        <f t="shared" si="21"/>
        <v>0</v>
      </c>
      <c r="ED55" s="85">
        <v>51667</v>
      </c>
      <c r="EI55" s="40">
        <f t="shared" si="22"/>
        <v>0</v>
      </c>
      <c r="EK55" s="85">
        <v>51667</v>
      </c>
      <c r="EP55" s="40">
        <f t="shared" si="23"/>
        <v>0</v>
      </c>
      <c r="ER55" s="85">
        <v>51667</v>
      </c>
      <c r="EW55" s="40">
        <f t="shared" si="24"/>
        <v>0</v>
      </c>
      <c r="EY55" s="85">
        <v>51667</v>
      </c>
      <c r="FD55" s="40">
        <f t="shared" si="25"/>
        <v>0</v>
      </c>
    </row>
    <row r="56" spans="1:160" x14ac:dyDescent="0.4">
      <c r="F56" s="85">
        <v>51866</v>
      </c>
      <c r="G56" s="85"/>
      <c r="H56" s="85">
        <v>51850</v>
      </c>
      <c r="I56" s="40"/>
      <c r="O56" s="85">
        <v>51866</v>
      </c>
      <c r="P56" s="85"/>
      <c r="Q56" s="85">
        <v>51850</v>
      </c>
      <c r="R56" s="40">
        <f t="shared" si="29"/>
        <v>123051135.40000001</v>
      </c>
      <c r="S56" s="40">
        <f t="shared" si="30"/>
        <v>38740061.25</v>
      </c>
      <c r="T56" s="40">
        <f t="shared" si="31"/>
        <v>34863864.600000001</v>
      </c>
      <c r="U56" s="40">
        <f t="shared" si="32"/>
        <v>0</v>
      </c>
      <c r="V56" s="40">
        <f t="shared" si="26"/>
        <v>196655061.25</v>
      </c>
      <c r="X56" s="85">
        <v>51850</v>
      </c>
      <c r="Y56" s="40"/>
      <c r="Z56" s="101"/>
      <c r="AA56" s="40"/>
      <c r="AB56" s="101"/>
      <c r="AC56" s="40">
        <f t="shared" si="27"/>
        <v>19862625</v>
      </c>
      <c r="AD56" s="40"/>
      <c r="AE56" s="40"/>
      <c r="AF56" s="40">
        <f t="shared" si="11"/>
        <v>19862625</v>
      </c>
      <c r="AH56" s="85">
        <v>51850</v>
      </c>
      <c r="AI56" s="40"/>
      <c r="AJ56" s="101"/>
      <c r="AK56" s="40"/>
      <c r="AL56" s="40"/>
      <c r="AM56" s="40"/>
      <c r="AN56" s="40">
        <f t="shared" si="33"/>
        <v>0</v>
      </c>
      <c r="AP56" s="85">
        <v>51850</v>
      </c>
      <c r="AQ56" s="40">
        <v>0</v>
      </c>
      <c r="AR56" s="101"/>
      <c r="AS56" s="40">
        <v>4750125</v>
      </c>
      <c r="AT56" s="40">
        <v>0</v>
      </c>
      <c r="AU56" s="40"/>
      <c r="AV56" s="40">
        <f t="shared" si="12"/>
        <v>4750125</v>
      </c>
      <c r="AX56" s="85">
        <v>51850</v>
      </c>
      <c r="AY56" s="40">
        <v>2306518.2000000002</v>
      </c>
      <c r="AZ56" s="101">
        <v>4.8500000000000001E-2</v>
      </c>
      <c r="BA56" s="40">
        <v>884873.75</v>
      </c>
      <c r="BB56" s="40">
        <v>2103481.7999999998</v>
      </c>
      <c r="BC56" s="40">
        <f t="shared" si="13"/>
        <v>5294873.75</v>
      </c>
      <c r="BE56" s="85">
        <v>51850</v>
      </c>
      <c r="BF56" s="40">
        <v>0</v>
      </c>
      <c r="BG56" s="40"/>
      <c r="BH56" s="40">
        <v>3425625</v>
      </c>
      <c r="BI56" s="40">
        <v>0</v>
      </c>
      <c r="BJ56" s="40">
        <f t="shared" si="14"/>
        <v>3425625</v>
      </c>
      <c r="BL56" s="85">
        <v>51850</v>
      </c>
      <c r="BM56" s="40">
        <v>2910000</v>
      </c>
      <c r="BN56" s="101">
        <v>0.05</v>
      </c>
      <c r="BO56" s="40">
        <v>1044875</v>
      </c>
      <c r="BP56" s="40">
        <f t="shared" si="15"/>
        <v>3954875</v>
      </c>
      <c r="BR56" s="85">
        <v>51850</v>
      </c>
      <c r="BS56" s="40">
        <v>48535000</v>
      </c>
      <c r="BT56" s="87">
        <v>0.05</v>
      </c>
      <c r="BU56" s="40">
        <f t="shared" si="5"/>
        <v>2426875</v>
      </c>
      <c r="BV56" s="40">
        <f t="shared" si="16"/>
        <v>50961875</v>
      </c>
      <c r="BX56" s="85">
        <v>51850</v>
      </c>
      <c r="BY56" s="40">
        <v>69299617.200000003</v>
      </c>
      <c r="BZ56" s="123" t="s">
        <v>101</v>
      </c>
      <c r="CA56" s="40">
        <v>6345062.5</v>
      </c>
      <c r="CB56" s="40">
        <v>32760382.800000001</v>
      </c>
      <c r="CC56" s="40">
        <f t="shared" si="6"/>
        <v>108405062.5</v>
      </c>
      <c r="CD56" s="67"/>
      <c r="CE56" s="85">
        <v>51850</v>
      </c>
      <c r="CG56" s="87"/>
      <c r="CJ56" s="67"/>
      <c r="CK56" s="85">
        <v>51850</v>
      </c>
      <c r="CL56" s="40"/>
      <c r="CM56" s="87"/>
      <c r="CN56" s="40"/>
      <c r="CO56" s="40">
        <v>0</v>
      </c>
      <c r="CP56" s="40">
        <f t="shared" si="17"/>
        <v>0</v>
      </c>
      <c r="CQ56" s="67"/>
      <c r="CR56" s="85">
        <v>51850</v>
      </c>
      <c r="CS56" s="40"/>
      <c r="CT56" s="87"/>
      <c r="CU56" s="40"/>
      <c r="CV56" s="40">
        <f t="shared" si="18"/>
        <v>0</v>
      </c>
      <c r="CW56" s="67"/>
      <c r="CX56" s="85">
        <v>51850</v>
      </c>
      <c r="CY56" s="40"/>
      <c r="CZ56" s="87"/>
      <c r="DA56" s="40"/>
      <c r="DB56" s="40"/>
      <c r="DC56" s="40">
        <f t="shared" si="19"/>
        <v>0</v>
      </c>
      <c r="DD56" s="40"/>
      <c r="DE56" s="85">
        <v>51850</v>
      </c>
      <c r="DG56" s="87"/>
      <c r="DJ56" s="40">
        <f t="shared" si="8"/>
        <v>0</v>
      </c>
      <c r="DK56" s="40"/>
      <c r="DL56" s="85">
        <v>51850</v>
      </c>
      <c r="DR56" s="85">
        <v>51850</v>
      </c>
      <c r="DV56" s="40">
        <f t="shared" si="20"/>
        <v>0</v>
      </c>
      <c r="DX56" s="85">
        <v>51850</v>
      </c>
      <c r="EB56" s="40">
        <f t="shared" si="21"/>
        <v>0</v>
      </c>
      <c r="ED56" s="85">
        <v>51850</v>
      </c>
      <c r="EI56" s="40">
        <f t="shared" si="22"/>
        <v>0</v>
      </c>
      <c r="EK56" s="85">
        <v>51850</v>
      </c>
      <c r="EP56" s="40">
        <f t="shared" si="23"/>
        <v>0</v>
      </c>
      <c r="ER56" s="85">
        <v>51850</v>
      </c>
      <c r="EW56" s="40">
        <f t="shared" si="24"/>
        <v>0</v>
      </c>
      <c r="EY56" s="85">
        <v>51850</v>
      </c>
      <c r="FD56" s="40">
        <f t="shared" si="25"/>
        <v>0</v>
      </c>
    </row>
    <row r="57" spans="1:160" x14ac:dyDescent="0.4">
      <c r="F57" s="85">
        <v>52047</v>
      </c>
      <c r="G57" s="85"/>
      <c r="H57" s="85">
        <v>52032</v>
      </c>
      <c r="I57" s="40">
        <f>SUM(Y56:Y57,AA56:AA57,AI56:AI57,AQ56:AQ57,AY56:AY57,BF56:BF57,BM56:BM57,BS56:BS57,BY56:BY57,CF56:CF57,CL56:CL57,CS56:CS57,CY56:CY57,DF56:DF57,DM56:DM57,DS56:DS57,DY56:DY57,EE56:EE57,EL56:EL57,ES56:ES57,EZ56:EZ57)</f>
        <v>232416135.40000001</v>
      </c>
      <c r="J57" s="40">
        <f>SUM(AC56:AC57,AK56:AK57,AS56:AS57,BA56:BA57,BH56:BH57,BO56:BO57,BU56:BU57,CA56:CA57,CH56:CH57,CN56:CN57,CU56:CU57,DA56:DA57,DH56:DH57,DO56:DO57,DU56:DU57,EA56:EA57,EG56:EG57,EN56:EN57,EU56:EU57,FB56:FB57)</f>
        <v>74794523.75</v>
      </c>
      <c r="K57" s="40">
        <f>SUM(AD56:AD57,AL56:AL57,AT56:AT57,BB56:BB57,BI56:BI57,CB56:CB57,CO56:CO57,DB56:DB57,DI56:DI57,EH56:EH57,EO56:EO57,EV56:EV57,FC56:FC57)</f>
        <v>34863864.600000001</v>
      </c>
      <c r="L57" s="40">
        <f>SUM(AE56:AE57,AM56:AM57,AU56:AU57)</f>
        <v>0</v>
      </c>
      <c r="M57" s="40">
        <f>SUM(I57:L57)</f>
        <v>342074523.75</v>
      </c>
      <c r="O57" s="85">
        <v>52047</v>
      </c>
      <c r="P57" s="85"/>
      <c r="Q57" s="85">
        <v>52032</v>
      </c>
      <c r="R57" s="40">
        <f t="shared" si="29"/>
        <v>109365000</v>
      </c>
      <c r="S57" s="40">
        <f t="shared" si="30"/>
        <v>36054462.5</v>
      </c>
      <c r="T57" s="40">
        <f t="shared" si="31"/>
        <v>0</v>
      </c>
      <c r="U57" s="40">
        <f t="shared" si="32"/>
        <v>0</v>
      </c>
      <c r="V57" s="40">
        <f t="shared" si="26"/>
        <v>145419462.5</v>
      </c>
      <c r="X57" s="85">
        <v>52032</v>
      </c>
      <c r="Y57" s="40"/>
      <c r="Z57" s="101"/>
      <c r="AA57" s="40"/>
      <c r="AB57" s="101"/>
      <c r="AC57" s="40">
        <f t="shared" si="27"/>
        <v>19862625</v>
      </c>
      <c r="AD57" s="40"/>
      <c r="AE57" s="40"/>
      <c r="AF57" s="40">
        <f t="shared" si="11"/>
        <v>19862625</v>
      </c>
      <c r="AH57" s="85">
        <v>52032</v>
      </c>
      <c r="AI57" s="40"/>
      <c r="AJ57" s="40"/>
      <c r="AK57" s="40"/>
      <c r="AL57" s="40"/>
      <c r="AM57" s="40"/>
      <c r="AN57" s="40">
        <f t="shared" si="33"/>
        <v>0</v>
      </c>
      <c r="AP57" s="85">
        <v>52032</v>
      </c>
      <c r="AQ57" s="40">
        <v>0</v>
      </c>
      <c r="AR57" s="101"/>
      <c r="AS57" s="40">
        <v>4750125</v>
      </c>
      <c r="AT57" s="40">
        <v>0</v>
      </c>
      <c r="AU57" s="40"/>
      <c r="AV57" s="40">
        <f t="shared" si="12"/>
        <v>4750125</v>
      </c>
      <c r="AX57" s="85">
        <v>52032</v>
      </c>
      <c r="AY57" s="40">
        <v>0</v>
      </c>
      <c r="BA57" s="40">
        <v>777931.25</v>
      </c>
      <c r="BB57" s="40">
        <v>0</v>
      </c>
      <c r="BC57" s="40">
        <f t="shared" si="13"/>
        <v>777931.25</v>
      </c>
      <c r="BE57" s="85">
        <v>52032</v>
      </c>
      <c r="BF57" s="40">
        <v>0</v>
      </c>
      <c r="BG57" s="40"/>
      <c r="BH57" s="40">
        <v>3425625</v>
      </c>
      <c r="BI57" s="40">
        <v>0</v>
      </c>
      <c r="BJ57" s="40">
        <f t="shared" si="14"/>
        <v>3425625</v>
      </c>
      <c r="BL57" s="85">
        <v>52032</v>
      </c>
      <c r="BM57" s="40">
        <v>0</v>
      </c>
      <c r="BN57" s="40"/>
      <c r="BO57" s="40">
        <v>972125</v>
      </c>
      <c r="BP57" s="40">
        <f t="shared" si="15"/>
        <v>972125</v>
      </c>
      <c r="BR57" s="85">
        <v>52032</v>
      </c>
      <c r="BS57" s="40">
        <v>48540000</v>
      </c>
      <c r="BT57" s="87">
        <v>0.05</v>
      </c>
      <c r="BU57" s="40">
        <f>BS57*BT57/2+BU58</f>
        <v>1213500</v>
      </c>
      <c r="BV57" s="40">
        <f t="shared" si="16"/>
        <v>49753500</v>
      </c>
      <c r="BX57" s="85">
        <v>52032</v>
      </c>
      <c r="BY57" s="40">
        <v>60825000</v>
      </c>
      <c r="BZ57" s="87">
        <v>4.2500000000000003E-2</v>
      </c>
      <c r="CA57" s="40">
        <v>5052531.25</v>
      </c>
      <c r="CB57" s="40">
        <v>0</v>
      </c>
      <c r="CC57" s="40">
        <f t="shared" si="6"/>
        <v>65877531.25</v>
      </c>
      <c r="CD57" s="67"/>
      <c r="CE57" s="85">
        <v>52032</v>
      </c>
      <c r="CG57" s="87"/>
      <c r="CJ57" s="67"/>
      <c r="CK57" s="85">
        <v>52032</v>
      </c>
      <c r="CL57" s="40"/>
      <c r="CM57" s="87"/>
      <c r="CN57" s="40"/>
      <c r="CO57" s="40">
        <v>0</v>
      </c>
      <c r="CP57" s="40">
        <f t="shared" si="17"/>
        <v>0</v>
      </c>
      <c r="CQ57" s="67"/>
      <c r="CR57" s="85">
        <v>52032</v>
      </c>
      <c r="CS57" s="40"/>
      <c r="CT57" s="87"/>
      <c r="CU57" s="40"/>
      <c r="CV57" s="40">
        <f t="shared" si="18"/>
        <v>0</v>
      </c>
      <c r="CW57" s="67"/>
      <c r="CX57" s="85">
        <v>52032</v>
      </c>
      <c r="CY57" s="40"/>
      <c r="CZ57" s="87"/>
      <c r="DA57" s="40"/>
      <c r="DB57" s="40"/>
      <c r="DC57" s="40">
        <f t="shared" si="19"/>
        <v>0</v>
      </c>
      <c r="DD57" s="40"/>
      <c r="DE57" s="85">
        <v>52032</v>
      </c>
      <c r="DG57" s="87"/>
      <c r="DJ57" s="40">
        <f t="shared" si="8"/>
        <v>0</v>
      </c>
      <c r="DK57" s="40"/>
      <c r="DL57" s="85">
        <v>52032</v>
      </c>
      <c r="DR57" s="85">
        <v>52032</v>
      </c>
      <c r="DV57" s="40">
        <f t="shared" si="20"/>
        <v>0</v>
      </c>
      <c r="DX57" s="85">
        <v>52032</v>
      </c>
      <c r="EB57" s="40">
        <f t="shared" si="21"/>
        <v>0</v>
      </c>
      <c r="ED57" s="85">
        <v>52032</v>
      </c>
      <c r="EI57" s="40">
        <f t="shared" si="22"/>
        <v>0</v>
      </c>
      <c r="EK57" s="85">
        <v>52032</v>
      </c>
      <c r="EP57" s="40">
        <f t="shared" si="23"/>
        <v>0</v>
      </c>
      <c r="ER57" s="85">
        <v>52032</v>
      </c>
      <c r="EW57" s="40">
        <f t="shared" si="24"/>
        <v>0</v>
      </c>
      <c r="EY57" s="85">
        <v>52032</v>
      </c>
      <c r="FD57" s="40">
        <f t="shared" si="25"/>
        <v>0</v>
      </c>
    </row>
    <row r="58" spans="1:160" x14ac:dyDescent="0.4">
      <c r="F58" s="85">
        <v>52231</v>
      </c>
      <c r="G58" s="85"/>
      <c r="H58" s="85">
        <v>52215</v>
      </c>
      <c r="I58" s="40"/>
      <c r="O58" s="85">
        <v>52231</v>
      </c>
      <c r="P58" s="85"/>
      <c r="Q58" s="85">
        <v>52215</v>
      </c>
      <c r="R58" s="40">
        <f t="shared" si="29"/>
        <v>7083967.5</v>
      </c>
      <c r="S58" s="40">
        <f t="shared" si="30"/>
        <v>33548431.25</v>
      </c>
      <c r="T58" s="40">
        <f t="shared" si="31"/>
        <v>2206032.5</v>
      </c>
      <c r="U58" s="40">
        <f t="shared" si="32"/>
        <v>0</v>
      </c>
      <c r="V58" s="40">
        <f t="shared" si="26"/>
        <v>42838431.25</v>
      </c>
      <c r="X58" s="85">
        <v>52215</v>
      </c>
      <c r="Y58" s="40">
        <v>1595000</v>
      </c>
      <c r="Z58" s="101">
        <v>0.05</v>
      </c>
      <c r="AA58" s="40"/>
      <c r="AB58" s="101"/>
      <c r="AC58" s="40">
        <f t="shared" si="27"/>
        <v>19862625</v>
      </c>
      <c r="AD58" s="40"/>
      <c r="AE58" s="40"/>
      <c r="AF58" s="40">
        <f t="shared" si="11"/>
        <v>21457625</v>
      </c>
      <c r="AH58" s="85">
        <v>52215</v>
      </c>
      <c r="AI58" s="40"/>
      <c r="AJ58" s="40"/>
      <c r="AK58" s="40"/>
      <c r="AL58" s="40"/>
      <c r="AM58" s="40"/>
      <c r="AN58" s="40">
        <f t="shared" si="33"/>
        <v>0</v>
      </c>
      <c r="AP58" s="85">
        <v>52215</v>
      </c>
      <c r="AQ58" s="40">
        <v>0</v>
      </c>
      <c r="AR58" s="101"/>
      <c r="AS58" s="40">
        <v>4750125</v>
      </c>
      <c r="AT58" s="40">
        <v>0</v>
      </c>
      <c r="AU58" s="40"/>
      <c r="AV58" s="40">
        <f t="shared" si="12"/>
        <v>4750125</v>
      </c>
      <c r="AX58" s="85">
        <v>52215</v>
      </c>
      <c r="AY58" s="40">
        <v>2418967.5</v>
      </c>
      <c r="AZ58" s="101">
        <v>4.8500000000000001E-2</v>
      </c>
      <c r="BA58" s="40">
        <v>777931.25</v>
      </c>
      <c r="BB58" s="40">
        <v>2206032.5</v>
      </c>
      <c r="BC58" s="40">
        <f t="shared" si="13"/>
        <v>5402931.25</v>
      </c>
      <c r="BE58" s="85">
        <v>52215</v>
      </c>
      <c r="BF58" s="40">
        <v>0</v>
      </c>
      <c r="BG58" s="40"/>
      <c r="BH58" s="40">
        <v>3425625</v>
      </c>
      <c r="BI58" s="40">
        <v>0</v>
      </c>
      <c r="BJ58" s="40">
        <f t="shared" si="14"/>
        <v>3425625</v>
      </c>
      <c r="BL58" s="85">
        <v>52215</v>
      </c>
      <c r="BM58" s="40">
        <v>3070000</v>
      </c>
      <c r="BN58" s="101">
        <v>0.05</v>
      </c>
      <c r="BO58" s="40">
        <v>972125</v>
      </c>
      <c r="BP58" s="40">
        <f t="shared" si="15"/>
        <v>4042125</v>
      </c>
      <c r="BR58" s="85">
        <v>52215</v>
      </c>
      <c r="BV58" s="40">
        <f t="shared" si="16"/>
        <v>0</v>
      </c>
      <c r="BX58" s="85">
        <v>52215</v>
      </c>
      <c r="BY58" s="40">
        <v>0</v>
      </c>
      <c r="BZ58" s="87">
        <v>0</v>
      </c>
      <c r="CA58" s="40">
        <v>3760000</v>
      </c>
      <c r="CB58" s="40">
        <v>0</v>
      </c>
      <c r="CC58" s="40">
        <f t="shared" si="6"/>
        <v>3760000</v>
      </c>
      <c r="CD58" s="67"/>
      <c r="CE58" s="85">
        <v>52215</v>
      </c>
      <c r="CG58" s="87"/>
      <c r="CJ58" s="67"/>
      <c r="CK58" s="85">
        <v>52215</v>
      </c>
      <c r="CL58" s="40"/>
      <c r="CM58" s="87"/>
      <c r="CN58" s="40"/>
      <c r="CO58" s="40">
        <v>0</v>
      </c>
      <c r="CP58" s="40">
        <f t="shared" si="17"/>
        <v>0</v>
      </c>
      <c r="CQ58" s="67"/>
      <c r="CR58" s="85">
        <v>52215</v>
      </c>
      <c r="CS58" s="40"/>
      <c r="CT58" s="87"/>
      <c r="CU58" s="40"/>
      <c r="CV58" s="40">
        <f t="shared" si="18"/>
        <v>0</v>
      </c>
      <c r="CW58" s="67"/>
      <c r="CX58" s="85">
        <v>52215</v>
      </c>
      <c r="CY58" s="40"/>
      <c r="CZ58" s="87"/>
      <c r="DA58" s="40"/>
      <c r="DB58" s="40"/>
      <c r="DC58" s="40">
        <f t="shared" si="19"/>
        <v>0</v>
      </c>
      <c r="DD58" s="40"/>
      <c r="DE58" s="85">
        <v>52215</v>
      </c>
      <c r="DG58" s="87"/>
      <c r="DJ58" s="40">
        <f t="shared" si="8"/>
        <v>0</v>
      </c>
      <c r="DK58" s="40"/>
      <c r="DL58" s="85">
        <v>52215</v>
      </c>
      <c r="DR58" s="85">
        <v>52215</v>
      </c>
      <c r="DV58" s="40">
        <f t="shared" si="20"/>
        <v>0</v>
      </c>
      <c r="DX58" s="85">
        <v>52215</v>
      </c>
      <c r="EB58" s="40">
        <f t="shared" si="21"/>
        <v>0</v>
      </c>
      <c r="ED58" s="85">
        <v>52215</v>
      </c>
      <c r="EI58" s="40">
        <f t="shared" si="22"/>
        <v>0</v>
      </c>
      <c r="EK58" s="85">
        <v>52215</v>
      </c>
      <c r="EP58" s="40">
        <f t="shared" si="23"/>
        <v>0</v>
      </c>
      <c r="ER58" s="85">
        <v>52215</v>
      </c>
      <c r="EW58" s="40">
        <f t="shared" si="24"/>
        <v>0</v>
      </c>
      <c r="EY58" s="85">
        <v>52215</v>
      </c>
      <c r="FD58" s="40">
        <f t="shared" si="25"/>
        <v>0</v>
      </c>
    </row>
    <row r="59" spans="1:160" x14ac:dyDescent="0.4">
      <c r="F59" s="85">
        <v>52412</v>
      </c>
      <c r="G59" s="85"/>
      <c r="H59" s="85">
        <v>52397</v>
      </c>
      <c r="I59" s="40">
        <f>SUM(Y58:Y59,AA58:AA59,AI58:AI59,AQ58:AQ59,AY58:AY59,BF58:BF59,BM58:BM59,BS58:BS59,BY58:BY59,CF58:CF59,CL58:CL59,CS58:CS59,CY58:CY59,DF58:DF59,DM58:DM59,DS58:DS59,DY58:DY59,EE58:EE59,EL58:EL59,ES58:ES59,EZ58:EZ59)</f>
        <v>43152297</v>
      </c>
      <c r="J59" s="40">
        <f>SUM(AC58:AC59,AK58:AK59,AS58:AS59,BA58:BA59,BH58:BH59,BO58:BO59,BU58:BU59,CA58:CA59,CH58:CH59,CN58:CN59,CU58:CU59,DA58:DA59,DH58:DH59,DO58:DO59,DU58:DU59,EA58:EA59,EG58:EG59,EN58:EN59,EU58:EU59,FB58:FB59)</f>
        <v>66868081.25</v>
      </c>
      <c r="K59" s="40">
        <f>SUM(AD58:AD59,AL58:AL59,AT58:AT59,BB58:BB59,BI58:BI59,CB58:CB59,CO58:CO59,DB58:DB59,DI58:DI59,EH58:EH59,EO58:EO59,EV58:EV59,FC58:FC59)</f>
        <v>233607703</v>
      </c>
      <c r="L59" s="40">
        <f>SUM(AE58:AE59,AM58:AM59,AU58:AU59)</f>
        <v>0</v>
      </c>
      <c r="M59" s="40">
        <f>SUM(I59:L59)</f>
        <v>343628081.25</v>
      </c>
      <c r="O59" s="85">
        <v>52412</v>
      </c>
      <c r="P59" s="85"/>
      <c r="Q59" s="85">
        <v>52397</v>
      </c>
      <c r="R59" s="40">
        <f t="shared" si="29"/>
        <v>36068329.5</v>
      </c>
      <c r="S59" s="40">
        <f t="shared" si="30"/>
        <v>33319650</v>
      </c>
      <c r="T59" s="40">
        <f t="shared" si="31"/>
        <v>231401670.5</v>
      </c>
      <c r="U59" s="40">
        <f t="shared" si="32"/>
        <v>0</v>
      </c>
      <c r="V59" s="40">
        <f t="shared" si="26"/>
        <v>300789650</v>
      </c>
      <c r="X59" s="85">
        <v>52397</v>
      </c>
      <c r="Y59" s="40"/>
      <c r="Z59" s="101"/>
      <c r="AA59" s="40"/>
      <c r="AB59" s="101"/>
      <c r="AC59" s="40">
        <f t="shared" si="27"/>
        <v>19822750</v>
      </c>
      <c r="AD59" s="40"/>
      <c r="AE59" s="40"/>
      <c r="AF59" s="40">
        <f t="shared" si="11"/>
        <v>19822750</v>
      </c>
      <c r="AH59" s="85">
        <v>52397</v>
      </c>
      <c r="AI59" s="40"/>
      <c r="AJ59" s="40"/>
      <c r="AK59" s="40"/>
      <c r="AL59" s="40"/>
      <c r="AM59" s="40"/>
      <c r="AN59" s="40">
        <f t="shared" si="33"/>
        <v>0</v>
      </c>
      <c r="AP59" s="85">
        <v>52397</v>
      </c>
      <c r="AQ59" s="40">
        <v>0</v>
      </c>
      <c r="AR59" s="101"/>
      <c r="AS59" s="40">
        <v>4750125</v>
      </c>
      <c r="AT59" s="40">
        <v>0</v>
      </c>
      <c r="AU59" s="40"/>
      <c r="AV59" s="40">
        <f t="shared" si="12"/>
        <v>4750125</v>
      </c>
      <c r="AX59" s="85">
        <v>52397</v>
      </c>
      <c r="AY59" s="40">
        <v>0</v>
      </c>
      <c r="BA59" s="40">
        <v>665775</v>
      </c>
      <c r="BB59" s="40">
        <v>0</v>
      </c>
      <c r="BC59" s="40">
        <f t="shared" si="13"/>
        <v>665775</v>
      </c>
      <c r="BE59" s="85">
        <v>52397</v>
      </c>
      <c r="BF59" s="40">
        <v>0</v>
      </c>
      <c r="BG59" s="40"/>
      <c r="BH59" s="40">
        <v>3425625</v>
      </c>
      <c r="BI59" s="40">
        <v>0</v>
      </c>
      <c r="BJ59" s="40">
        <f t="shared" si="14"/>
        <v>3425625</v>
      </c>
      <c r="BL59" s="85">
        <v>52397</v>
      </c>
      <c r="BM59" s="40">
        <v>0</v>
      </c>
      <c r="BN59" s="40"/>
      <c r="BO59" s="40">
        <v>895375</v>
      </c>
      <c r="BP59" s="40">
        <f t="shared" si="15"/>
        <v>895375</v>
      </c>
      <c r="BR59" s="85">
        <v>52397</v>
      </c>
      <c r="BV59" s="40">
        <f t="shared" si="16"/>
        <v>0</v>
      </c>
      <c r="BX59" s="85">
        <v>52397</v>
      </c>
      <c r="BY59" s="40">
        <v>0</v>
      </c>
      <c r="BZ59" s="87">
        <v>0</v>
      </c>
      <c r="CA59" s="40">
        <v>3760000</v>
      </c>
      <c r="CB59" s="40">
        <v>0</v>
      </c>
      <c r="CC59" s="40">
        <f t="shared" si="6"/>
        <v>3760000</v>
      </c>
      <c r="CD59" s="67"/>
      <c r="CE59" s="85">
        <v>52397</v>
      </c>
      <c r="CG59" s="87"/>
      <c r="CJ59" s="67"/>
      <c r="CK59" s="85">
        <v>52397</v>
      </c>
      <c r="CL59" s="40">
        <v>36068329.5</v>
      </c>
      <c r="CM59" s="87">
        <v>6.2300000000000001E-2</v>
      </c>
      <c r="CN59" s="40"/>
      <c r="CO59" s="40">
        <v>231401670.5</v>
      </c>
      <c r="CP59" s="40">
        <f t="shared" si="17"/>
        <v>267470000</v>
      </c>
      <c r="CQ59" s="67"/>
      <c r="CR59" s="85">
        <v>52397</v>
      </c>
      <c r="CS59" s="40"/>
      <c r="CT59" s="87"/>
      <c r="CU59" s="40"/>
      <c r="CV59" s="40">
        <f t="shared" si="18"/>
        <v>0</v>
      </c>
      <c r="CW59" s="67"/>
      <c r="CX59" s="85">
        <v>52397</v>
      </c>
      <c r="CY59" s="40"/>
      <c r="CZ59" s="87"/>
      <c r="DA59" s="40"/>
      <c r="DB59" s="40"/>
      <c r="DC59" s="40">
        <f t="shared" si="19"/>
        <v>0</v>
      </c>
      <c r="DD59" s="40"/>
      <c r="DE59" s="85">
        <v>52397</v>
      </c>
      <c r="DG59" s="87"/>
      <c r="DJ59" s="40">
        <f t="shared" si="8"/>
        <v>0</v>
      </c>
      <c r="DK59" s="40"/>
      <c r="DL59" s="85">
        <v>52397</v>
      </c>
      <c r="DR59" s="85">
        <v>52397</v>
      </c>
      <c r="DV59" s="40">
        <f t="shared" si="20"/>
        <v>0</v>
      </c>
      <c r="DX59" s="85">
        <v>52397</v>
      </c>
      <c r="EB59" s="40">
        <f t="shared" si="21"/>
        <v>0</v>
      </c>
      <c r="ED59" s="85">
        <v>52397</v>
      </c>
      <c r="EI59" s="40">
        <f t="shared" si="22"/>
        <v>0</v>
      </c>
      <c r="EK59" s="85">
        <v>52397</v>
      </c>
      <c r="EP59" s="40">
        <f t="shared" si="23"/>
        <v>0</v>
      </c>
      <c r="ER59" s="85">
        <v>52397</v>
      </c>
      <c r="EW59" s="40">
        <f t="shared" si="24"/>
        <v>0</v>
      </c>
      <c r="EY59" s="85">
        <v>52397</v>
      </c>
      <c r="FD59" s="40">
        <f t="shared" si="25"/>
        <v>0</v>
      </c>
    </row>
    <row r="60" spans="1:160" x14ac:dyDescent="0.4">
      <c r="F60" s="85">
        <v>52596</v>
      </c>
      <c r="G60" s="85"/>
      <c r="H60" s="85">
        <v>52580</v>
      </c>
      <c r="I60" s="40"/>
      <c r="O60" s="85">
        <v>52596</v>
      </c>
      <c r="P60" s="85"/>
      <c r="Q60" s="85">
        <v>52580</v>
      </c>
      <c r="R60" s="40">
        <f t="shared" si="29"/>
        <v>7408537.5999999996</v>
      </c>
      <c r="S60" s="40">
        <f t="shared" si="30"/>
        <v>33319650</v>
      </c>
      <c r="T60" s="40">
        <f t="shared" si="31"/>
        <v>2351462.3999999999</v>
      </c>
      <c r="U60" s="40">
        <f t="shared" si="32"/>
        <v>0</v>
      </c>
      <c r="V60" s="40">
        <f t="shared" si="26"/>
        <v>43079650</v>
      </c>
      <c r="X60" s="85">
        <v>52580</v>
      </c>
      <c r="Y60" s="40">
        <v>1675000</v>
      </c>
      <c r="Z60" s="101">
        <v>0.05</v>
      </c>
      <c r="AA60" s="40"/>
      <c r="AB60" s="101"/>
      <c r="AC60" s="40">
        <f t="shared" si="27"/>
        <v>19822750</v>
      </c>
      <c r="AD60" s="40"/>
      <c r="AE60" s="40"/>
      <c r="AF60" s="40">
        <f t="shared" si="11"/>
        <v>21497750</v>
      </c>
      <c r="AH60" s="85">
        <v>52580</v>
      </c>
      <c r="AI60" s="40"/>
      <c r="AJ60" s="40"/>
      <c r="AK60" s="40"/>
      <c r="AL60" s="40"/>
      <c r="AM60" s="40"/>
      <c r="AN60" s="40">
        <f t="shared" si="33"/>
        <v>0</v>
      </c>
      <c r="AP60" s="85">
        <v>52580</v>
      </c>
      <c r="AQ60" s="40">
        <v>0</v>
      </c>
      <c r="AR60" s="101"/>
      <c r="AS60" s="40">
        <v>4750125</v>
      </c>
      <c r="AT60" s="40">
        <v>0</v>
      </c>
      <c r="AU60" s="40"/>
      <c r="AV60" s="40">
        <f t="shared" si="12"/>
        <v>4750125</v>
      </c>
      <c r="AX60" s="85">
        <v>52580</v>
      </c>
      <c r="AY60" s="40">
        <v>2508537.6</v>
      </c>
      <c r="AZ60" s="101">
        <v>4.9500000000000002E-2</v>
      </c>
      <c r="BA60" s="40">
        <v>665775</v>
      </c>
      <c r="BB60" s="40">
        <v>2351462.3999999999</v>
      </c>
      <c r="BC60" s="40">
        <f t="shared" si="13"/>
        <v>5525775</v>
      </c>
      <c r="BE60" s="85">
        <v>52580</v>
      </c>
      <c r="BF60" s="40">
        <v>0</v>
      </c>
      <c r="BG60" s="40"/>
      <c r="BH60" s="40">
        <v>3425625</v>
      </c>
      <c r="BI60" s="40">
        <v>0</v>
      </c>
      <c r="BJ60" s="40">
        <f t="shared" si="14"/>
        <v>3425625</v>
      </c>
      <c r="BL60" s="85">
        <v>52580</v>
      </c>
      <c r="BM60" s="40">
        <v>3225000</v>
      </c>
      <c r="BN60" s="101">
        <v>0.05</v>
      </c>
      <c r="BO60" s="40">
        <v>895375</v>
      </c>
      <c r="BP60" s="40">
        <f t="shared" si="15"/>
        <v>4120375</v>
      </c>
      <c r="BR60" s="85">
        <v>52580</v>
      </c>
      <c r="BV60" s="40">
        <f t="shared" si="16"/>
        <v>0</v>
      </c>
      <c r="BX60" s="85">
        <v>52580</v>
      </c>
      <c r="BY60" s="40">
        <v>0</v>
      </c>
      <c r="BZ60" s="87">
        <v>0</v>
      </c>
      <c r="CA60" s="40">
        <v>3760000</v>
      </c>
      <c r="CB60" s="40">
        <v>0</v>
      </c>
      <c r="CC60" s="40">
        <f t="shared" si="6"/>
        <v>3760000</v>
      </c>
      <c r="CD60" s="67"/>
      <c r="CE60" s="85">
        <v>52580</v>
      </c>
      <c r="CG60" s="87"/>
      <c r="CJ60" s="67"/>
      <c r="CK60" s="85">
        <v>52580</v>
      </c>
      <c r="CL60" s="40"/>
      <c r="CM60" s="87"/>
      <c r="CN60" s="40"/>
      <c r="CO60" s="40">
        <v>0</v>
      </c>
      <c r="CP60" s="40">
        <f t="shared" si="17"/>
        <v>0</v>
      </c>
      <c r="CQ60" s="67"/>
      <c r="CR60" s="85">
        <v>52580</v>
      </c>
      <c r="CS60" s="40"/>
      <c r="CT60" s="87"/>
      <c r="CU60" s="40"/>
      <c r="CV60" s="40">
        <f t="shared" si="18"/>
        <v>0</v>
      </c>
      <c r="CW60" s="67"/>
      <c r="CX60" s="85">
        <v>52580</v>
      </c>
      <c r="CY60" s="40"/>
      <c r="CZ60" s="87"/>
      <c r="DA60" s="40"/>
      <c r="DB60" s="40"/>
      <c r="DC60" s="40">
        <f t="shared" si="19"/>
        <v>0</v>
      </c>
      <c r="DD60" s="40"/>
      <c r="DE60" s="85">
        <v>52580</v>
      </c>
      <c r="DG60" s="87"/>
      <c r="DJ60" s="40">
        <f t="shared" si="8"/>
        <v>0</v>
      </c>
      <c r="DK60" s="40"/>
      <c r="DL60" s="85">
        <v>52580</v>
      </c>
      <c r="DR60" s="85">
        <v>52580</v>
      </c>
      <c r="DV60" s="40">
        <f t="shared" si="20"/>
        <v>0</v>
      </c>
      <c r="DX60" s="85">
        <v>52580</v>
      </c>
      <c r="EB60" s="40">
        <f t="shared" si="21"/>
        <v>0</v>
      </c>
      <c r="ED60" s="85">
        <v>52580</v>
      </c>
      <c r="EI60" s="40">
        <f t="shared" si="22"/>
        <v>0</v>
      </c>
      <c r="EK60" s="85">
        <v>52580</v>
      </c>
      <c r="EP60" s="40">
        <f t="shared" si="23"/>
        <v>0</v>
      </c>
      <c r="ER60" s="85">
        <v>52580</v>
      </c>
      <c r="EW60" s="40">
        <f t="shared" si="24"/>
        <v>0</v>
      </c>
      <c r="EY60" s="85">
        <v>52580</v>
      </c>
      <c r="FD60" s="40">
        <f t="shared" si="25"/>
        <v>0</v>
      </c>
    </row>
    <row r="61" spans="1:160" x14ac:dyDescent="0.4">
      <c r="F61" s="85">
        <v>52778</v>
      </c>
      <c r="G61" s="85"/>
      <c r="H61" s="85">
        <v>52763</v>
      </c>
      <c r="I61" s="40">
        <f>SUM(Y60:Y61,AA60:AA61,AI60:AI61,AQ60:AQ61,AY60:AY61,BF60:BF61,BM60:BM61,BS60:BS61,BY60:BY61,CF60:CF61,CL60:CL61,CS60:CS61,CY60:CY61,DF60:DF61,DM60:DM61,DS60:DS61,DY60:DY61,EE60:EE61,EL60:EL61,ES60:ES61,EZ60:EZ61)</f>
        <v>41109757.600000001</v>
      </c>
      <c r="J61" s="40">
        <f>SUM(AC60:AC61,AK60:AK61,AS60:AS61,BA60:BA61,BH60:BH61,BO60:BO61,BU60:BU61,CA60:CA61,CH60:CH61,CN60:CN61,CU60:CU61,DA60:DA61,DH60:DH61,DO60:DO61,DU60:DU61,EA60:EA61,EG60:EG61,EN60:EN61,EU60:EU61,FB60:FB61)</f>
        <v>66396515</v>
      </c>
      <c r="K61" s="40">
        <f>SUM(AD60:AD61,AL60:AL61,AT60:AT61,BB60:BB61,BI60:BI61,CB60:CB61,CO60:CO61,DB60:DB61,DI60:DI61,EH60:EH61,EO60:EO61,EV60:EV61,FC60:FC61)</f>
        <v>236120242.40000001</v>
      </c>
      <c r="L61" s="40">
        <f>SUM(AE60:AE61,AM60:AM61,AU60:AU61)</f>
        <v>0</v>
      </c>
      <c r="M61" s="40">
        <f>SUM(I61:L61)</f>
        <v>343626515</v>
      </c>
      <c r="O61" s="85">
        <v>52778</v>
      </c>
      <c r="P61" s="85"/>
      <c r="Q61" s="85">
        <v>52763</v>
      </c>
      <c r="R61" s="40">
        <f t="shared" si="29"/>
        <v>33701220</v>
      </c>
      <c r="S61" s="40">
        <f t="shared" si="30"/>
        <v>33076865</v>
      </c>
      <c r="T61" s="40">
        <f t="shared" si="31"/>
        <v>233768780</v>
      </c>
      <c r="U61" s="40">
        <f t="shared" si="32"/>
        <v>0</v>
      </c>
      <c r="V61" s="40">
        <f t="shared" si="26"/>
        <v>300546865</v>
      </c>
      <c r="X61" s="85">
        <v>52763</v>
      </c>
      <c r="Y61" s="40"/>
      <c r="Z61" s="101"/>
      <c r="AA61" s="40"/>
      <c r="AB61" s="101"/>
      <c r="AC61" s="40">
        <f t="shared" si="27"/>
        <v>19780875</v>
      </c>
      <c r="AD61" s="40"/>
      <c r="AE61" s="40"/>
      <c r="AF61" s="40">
        <f t="shared" si="11"/>
        <v>19780875</v>
      </c>
      <c r="AH61" s="85">
        <v>52763</v>
      </c>
      <c r="AI61" s="40"/>
      <c r="AJ61" s="40"/>
      <c r="AK61" s="40"/>
      <c r="AL61" s="40"/>
      <c r="AM61" s="40"/>
      <c r="AN61" s="40">
        <f t="shared" si="33"/>
        <v>0</v>
      </c>
      <c r="AP61" s="85">
        <v>52763</v>
      </c>
      <c r="AQ61" s="40">
        <v>0</v>
      </c>
      <c r="AR61" s="101"/>
      <c r="AS61" s="40">
        <v>4750125</v>
      </c>
      <c r="AT61" s="40">
        <v>0</v>
      </c>
      <c r="AU61" s="40"/>
      <c r="AV61" s="40">
        <f t="shared" si="12"/>
        <v>4750125</v>
      </c>
      <c r="AX61" s="85">
        <v>52763</v>
      </c>
      <c r="AY61" s="40">
        <v>0</v>
      </c>
      <c r="BA61" s="40">
        <v>545490</v>
      </c>
      <c r="BB61" s="40">
        <v>0</v>
      </c>
      <c r="BC61" s="40">
        <f t="shared" si="13"/>
        <v>545490</v>
      </c>
      <c r="BE61" s="85">
        <v>52763</v>
      </c>
      <c r="BF61" s="40">
        <v>0</v>
      </c>
      <c r="BG61" s="40"/>
      <c r="BH61" s="40">
        <v>3425625</v>
      </c>
      <c r="BI61" s="40">
        <v>0</v>
      </c>
      <c r="BJ61" s="40">
        <f t="shared" si="14"/>
        <v>3425625</v>
      </c>
      <c r="BL61" s="85">
        <v>52763</v>
      </c>
      <c r="BM61" s="40">
        <v>0</v>
      </c>
      <c r="BN61" s="40"/>
      <c r="BO61" s="40">
        <v>814750</v>
      </c>
      <c r="BP61" s="40">
        <f t="shared" si="15"/>
        <v>814750</v>
      </c>
      <c r="BR61" s="85">
        <v>52763</v>
      </c>
      <c r="BV61" s="40">
        <f t="shared" si="16"/>
        <v>0</v>
      </c>
      <c r="BX61" s="85">
        <v>52763</v>
      </c>
      <c r="BY61" s="40">
        <v>0</v>
      </c>
      <c r="BZ61" s="87">
        <v>0</v>
      </c>
      <c r="CA61" s="40">
        <v>3760000</v>
      </c>
      <c r="CB61" s="40">
        <v>0</v>
      </c>
      <c r="CC61" s="40">
        <f t="shared" si="6"/>
        <v>3760000</v>
      </c>
      <c r="CD61" s="67"/>
      <c r="CE61" s="85">
        <v>52763</v>
      </c>
      <c r="CG61" s="87"/>
      <c r="CJ61" s="67"/>
      <c r="CK61" s="85">
        <v>52763</v>
      </c>
      <c r="CL61" s="40">
        <v>33701220</v>
      </c>
      <c r="CM61" s="87">
        <v>6.25E-2</v>
      </c>
      <c r="CN61" s="40"/>
      <c r="CO61" s="40">
        <v>233768780</v>
      </c>
      <c r="CP61" s="40">
        <f t="shared" si="17"/>
        <v>267470000</v>
      </c>
      <c r="CQ61" s="67"/>
      <c r="CR61" s="85">
        <v>52763</v>
      </c>
      <c r="CS61" s="40"/>
      <c r="CT61" s="87"/>
      <c r="CU61" s="40"/>
      <c r="CV61" s="40">
        <f t="shared" si="18"/>
        <v>0</v>
      </c>
      <c r="CW61" s="67"/>
      <c r="CX61" s="85">
        <v>52763</v>
      </c>
      <c r="CY61" s="40"/>
      <c r="CZ61" s="87"/>
      <c r="DA61" s="40"/>
      <c r="DB61" s="40"/>
      <c r="DC61" s="40">
        <f t="shared" si="19"/>
        <v>0</v>
      </c>
      <c r="DD61" s="40"/>
      <c r="DE61" s="85">
        <v>52763</v>
      </c>
      <c r="DG61" s="87"/>
      <c r="DJ61" s="40">
        <f t="shared" si="8"/>
        <v>0</v>
      </c>
      <c r="DK61" s="40"/>
      <c r="DL61" s="85">
        <v>52763</v>
      </c>
      <c r="DR61" s="85">
        <v>52763</v>
      </c>
      <c r="DV61" s="40">
        <f t="shared" si="20"/>
        <v>0</v>
      </c>
      <c r="DX61" s="85">
        <v>52763</v>
      </c>
      <c r="EB61" s="40">
        <f t="shared" si="21"/>
        <v>0</v>
      </c>
      <c r="ED61" s="85">
        <v>52763</v>
      </c>
      <c r="EI61" s="40">
        <f t="shared" si="22"/>
        <v>0</v>
      </c>
      <c r="EK61" s="85">
        <v>52763</v>
      </c>
      <c r="EP61" s="40">
        <f t="shared" si="23"/>
        <v>0</v>
      </c>
      <c r="ER61" s="85">
        <v>52763</v>
      </c>
      <c r="EW61" s="40">
        <f t="shared" si="24"/>
        <v>0</v>
      </c>
      <c r="EY61" s="85">
        <v>52763</v>
      </c>
      <c r="FD61" s="40">
        <f t="shared" si="25"/>
        <v>0</v>
      </c>
    </row>
    <row r="62" spans="1:160" x14ac:dyDescent="0.4">
      <c r="F62" s="85">
        <v>52962</v>
      </c>
      <c r="G62" s="85"/>
      <c r="H62" s="85">
        <v>52946</v>
      </c>
      <c r="I62" s="40"/>
      <c r="O62" s="85">
        <v>52962</v>
      </c>
      <c r="P62" s="85"/>
      <c r="Q62" s="85">
        <v>52946</v>
      </c>
      <c r="R62" s="40">
        <f t="shared" si="29"/>
        <v>7792577.5999999996</v>
      </c>
      <c r="S62" s="40">
        <f t="shared" si="30"/>
        <v>33076865</v>
      </c>
      <c r="T62" s="40">
        <f t="shared" si="31"/>
        <v>2472422.3999999999</v>
      </c>
      <c r="U62" s="40">
        <f t="shared" si="32"/>
        <v>0</v>
      </c>
      <c r="V62" s="40">
        <f t="shared" si="26"/>
        <v>43341865</v>
      </c>
      <c r="X62" s="85">
        <v>52946</v>
      </c>
      <c r="Y62" s="40">
        <v>1760000</v>
      </c>
      <c r="Z62" s="101">
        <v>0.05</v>
      </c>
      <c r="AA62" s="40"/>
      <c r="AB62" s="101"/>
      <c r="AC62" s="40">
        <f t="shared" si="27"/>
        <v>19780875</v>
      </c>
      <c r="AD62" s="40"/>
      <c r="AE62" s="40"/>
      <c r="AF62" s="40">
        <f t="shared" si="11"/>
        <v>21540875</v>
      </c>
      <c r="AH62" s="85">
        <v>52946</v>
      </c>
      <c r="AI62" s="40"/>
      <c r="AJ62" s="40"/>
      <c r="AK62" s="40"/>
      <c r="AL62" s="40"/>
      <c r="AM62" s="40"/>
      <c r="AN62" s="40">
        <f t="shared" si="33"/>
        <v>0</v>
      </c>
      <c r="AP62" s="85">
        <v>52946</v>
      </c>
      <c r="AQ62" s="40">
        <v>0</v>
      </c>
      <c r="AR62" s="101"/>
      <c r="AS62" s="40">
        <v>4750125</v>
      </c>
      <c r="AT62" s="40">
        <v>0</v>
      </c>
      <c r="AU62" s="40"/>
      <c r="AV62" s="40">
        <f t="shared" si="12"/>
        <v>4750125</v>
      </c>
      <c r="AX62" s="85">
        <v>52946</v>
      </c>
      <c r="AY62" s="40">
        <v>2637577.6</v>
      </c>
      <c r="AZ62" s="101">
        <v>4.9500000000000002E-2</v>
      </c>
      <c r="BA62" s="40">
        <v>545490</v>
      </c>
      <c r="BB62" s="40">
        <v>2472422.3999999999</v>
      </c>
      <c r="BC62" s="40">
        <f t="shared" si="13"/>
        <v>5655490</v>
      </c>
      <c r="BE62" s="85">
        <v>52946</v>
      </c>
      <c r="BF62" s="40">
        <v>0</v>
      </c>
      <c r="BG62" s="40"/>
      <c r="BH62" s="40">
        <v>3425625</v>
      </c>
      <c r="BI62" s="40">
        <v>0</v>
      </c>
      <c r="BJ62" s="40">
        <f t="shared" si="14"/>
        <v>3425625</v>
      </c>
      <c r="BL62" s="85">
        <v>52946</v>
      </c>
      <c r="BM62" s="40">
        <v>3395000</v>
      </c>
      <c r="BN62" s="101">
        <v>0.05</v>
      </c>
      <c r="BO62" s="40">
        <v>814750</v>
      </c>
      <c r="BP62" s="40">
        <f t="shared" si="15"/>
        <v>4209750</v>
      </c>
      <c r="BR62" s="85">
        <v>52946</v>
      </c>
      <c r="BV62" s="40">
        <f t="shared" si="16"/>
        <v>0</v>
      </c>
      <c r="BX62" s="85">
        <v>52946</v>
      </c>
      <c r="BY62" s="40">
        <v>0</v>
      </c>
      <c r="BZ62" s="87">
        <v>0</v>
      </c>
      <c r="CA62" s="40">
        <v>3760000</v>
      </c>
      <c r="CB62" s="40">
        <v>0</v>
      </c>
      <c r="CC62" s="40">
        <f t="shared" si="6"/>
        <v>3760000</v>
      </c>
      <c r="CD62" s="67"/>
      <c r="CE62" s="85">
        <v>52946</v>
      </c>
      <c r="CG62" s="87"/>
      <c r="CJ62" s="67"/>
      <c r="CK62" s="85">
        <v>52946</v>
      </c>
      <c r="CL62" s="40"/>
      <c r="CM62" s="87"/>
      <c r="CN62" s="40"/>
      <c r="CO62" s="40">
        <v>0</v>
      </c>
      <c r="CP62" s="40">
        <f t="shared" si="17"/>
        <v>0</v>
      </c>
      <c r="CQ62" s="67"/>
      <c r="CR62" s="85">
        <v>52946</v>
      </c>
      <c r="CS62" s="40"/>
      <c r="CT62" s="87"/>
      <c r="CU62" s="40"/>
      <c r="CV62" s="40">
        <f t="shared" si="18"/>
        <v>0</v>
      </c>
      <c r="CW62" s="67"/>
      <c r="CX62" s="85">
        <v>52946</v>
      </c>
      <c r="CY62" s="40"/>
      <c r="CZ62" s="87"/>
      <c r="DA62" s="40"/>
      <c r="DB62" s="40"/>
      <c r="DC62" s="40">
        <f t="shared" si="19"/>
        <v>0</v>
      </c>
      <c r="DD62" s="40"/>
      <c r="DE62" s="85">
        <v>52946</v>
      </c>
      <c r="DG62" s="87"/>
      <c r="DJ62" s="40">
        <f t="shared" si="8"/>
        <v>0</v>
      </c>
      <c r="DK62" s="40"/>
      <c r="DL62" s="85">
        <v>52946</v>
      </c>
      <c r="DR62" s="85">
        <v>52946</v>
      </c>
      <c r="DV62" s="40">
        <f t="shared" si="20"/>
        <v>0</v>
      </c>
      <c r="DX62" s="85">
        <v>52946</v>
      </c>
      <c r="EB62" s="40">
        <f t="shared" si="21"/>
        <v>0</v>
      </c>
      <c r="ED62" s="85">
        <v>52946</v>
      </c>
      <c r="EI62" s="40">
        <f t="shared" si="22"/>
        <v>0</v>
      </c>
      <c r="EK62" s="85">
        <v>52946</v>
      </c>
      <c r="EP62" s="40">
        <f t="shared" si="23"/>
        <v>0</v>
      </c>
      <c r="ER62" s="85">
        <v>52946</v>
      </c>
      <c r="EW62" s="40">
        <f t="shared" si="24"/>
        <v>0</v>
      </c>
      <c r="EY62" s="85">
        <v>52946</v>
      </c>
      <c r="FD62" s="40">
        <f t="shared" si="25"/>
        <v>0</v>
      </c>
    </row>
    <row r="63" spans="1:160" x14ac:dyDescent="0.4">
      <c r="F63" s="85">
        <v>53143</v>
      </c>
      <c r="G63" s="85"/>
      <c r="H63" s="85">
        <v>53128</v>
      </c>
      <c r="I63" s="40">
        <f>SUM(Y62:Y63,AA62:AA63,AI62:AI63,AQ62:AQ63,AY62:AY63,BF62:BF63,BM62:BM63,BS62:BS63,BY62:BY63,CF62:CF63,CL62:CL63,CS62:CS63,CY62:CY63,DF62:DF63,DM62:DM63,DS62:DS63,DY62:DY63,EE62:EE63,EL62:EL63,ES62:ES63,EZ62:EZ63)</f>
        <v>39481830.799999997</v>
      </c>
      <c r="J63" s="40">
        <f>SUM(AC62:AC63,AK62:AK63,AS62:AS63,BA62:BA63,BH62:BH63,BO62:BO63,BU62:BU63,CA62:CA63,CH62:CH63,CN62:CN63,CU62:CU63,DA62:DA63,DH62:DH63,DO62:DO63,DU62:DU63,EA62:EA63,EG62:EG63,EN62:EN63,EU62:EU63,FB62:FB63)</f>
        <v>65898382.5</v>
      </c>
      <c r="K63" s="40">
        <f>SUM(AD62:AD63,AL62:AL63,AT62:AT63,BB62:BB63,BI62:BI63,CB62:CB63,CO62:CO63,DB62:DB63,DI62:DI63,EH62:EH63,EO62:EO63,EV62:EV63,FC62:FC63)</f>
        <v>238248169.20000002</v>
      </c>
      <c r="L63" s="40">
        <f>SUM(AE62:AE63,AM62:AM63,AU62:AU63)</f>
        <v>0</v>
      </c>
      <c r="M63" s="40">
        <f>SUM(I63:L63)</f>
        <v>343628382.5</v>
      </c>
      <c r="O63" s="85">
        <v>53143</v>
      </c>
      <c r="P63" s="85"/>
      <c r="Q63" s="85">
        <v>53128</v>
      </c>
      <c r="R63" s="40">
        <f t="shared" si="29"/>
        <v>31689253.199999999</v>
      </c>
      <c r="S63" s="40">
        <f t="shared" si="30"/>
        <v>32821517.5</v>
      </c>
      <c r="T63" s="40">
        <f t="shared" si="31"/>
        <v>235775746.80000001</v>
      </c>
      <c r="U63" s="40">
        <f t="shared" si="32"/>
        <v>0</v>
      </c>
      <c r="V63" s="40">
        <f t="shared" si="26"/>
        <v>300286517.5</v>
      </c>
      <c r="X63" s="85">
        <v>53128</v>
      </c>
      <c r="Y63" s="40"/>
      <c r="Z63" s="101"/>
      <c r="AA63" s="40"/>
      <c r="AB63" s="101"/>
      <c r="AC63" s="40">
        <f t="shared" si="27"/>
        <v>19736875</v>
      </c>
      <c r="AD63" s="40"/>
      <c r="AE63" s="40"/>
      <c r="AF63" s="40">
        <f t="shared" si="11"/>
        <v>19736875</v>
      </c>
      <c r="AH63" s="85">
        <v>53128</v>
      </c>
      <c r="AI63" s="40"/>
      <c r="AJ63" s="40"/>
      <c r="AK63" s="40"/>
      <c r="AL63" s="40"/>
      <c r="AM63" s="40"/>
      <c r="AN63" s="40">
        <f t="shared" si="33"/>
        <v>0</v>
      </c>
      <c r="AP63" s="85">
        <v>53128</v>
      </c>
      <c r="AQ63" s="40">
        <v>0</v>
      </c>
      <c r="AR63" s="101"/>
      <c r="AS63" s="40">
        <v>4750125</v>
      </c>
      <c r="AT63" s="40">
        <v>0</v>
      </c>
      <c r="AU63" s="40"/>
      <c r="AV63" s="40">
        <f t="shared" si="12"/>
        <v>4750125</v>
      </c>
      <c r="AX63" s="85">
        <v>53128</v>
      </c>
      <c r="AY63" s="40">
        <v>0</v>
      </c>
      <c r="BA63" s="40">
        <v>419017.5</v>
      </c>
      <c r="BB63" s="40">
        <v>0</v>
      </c>
      <c r="BC63" s="40">
        <f t="shared" si="13"/>
        <v>419017.5</v>
      </c>
      <c r="BE63" s="85">
        <v>53128</v>
      </c>
      <c r="BF63" s="40">
        <v>0</v>
      </c>
      <c r="BG63" s="40"/>
      <c r="BH63" s="40">
        <v>3425625</v>
      </c>
      <c r="BI63" s="40">
        <v>0</v>
      </c>
      <c r="BJ63" s="40">
        <f t="shared" si="14"/>
        <v>3425625</v>
      </c>
      <c r="BL63" s="85">
        <v>53128</v>
      </c>
      <c r="BM63" s="40">
        <v>0</v>
      </c>
      <c r="BN63" s="40"/>
      <c r="BO63" s="40">
        <v>729875</v>
      </c>
      <c r="BP63" s="40">
        <f t="shared" si="15"/>
        <v>729875</v>
      </c>
      <c r="BR63" s="85">
        <v>53128</v>
      </c>
      <c r="BV63" s="40">
        <f t="shared" si="16"/>
        <v>0</v>
      </c>
      <c r="BX63" s="85">
        <v>53128</v>
      </c>
      <c r="BY63" s="40">
        <v>0</v>
      </c>
      <c r="BZ63" s="87">
        <v>0</v>
      </c>
      <c r="CA63" s="40">
        <v>3760000</v>
      </c>
      <c r="CB63" s="40">
        <v>0</v>
      </c>
      <c r="CC63" s="40">
        <f t="shared" si="6"/>
        <v>3760000</v>
      </c>
      <c r="CD63" s="67"/>
      <c r="CE63" s="85">
        <v>53128</v>
      </c>
      <c r="CG63" s="87"/>
      <c r="CJ63" s="67"/>
      <c r="CK63" s="85">
        <v>53128</v>
      </c>
      <c r="CL63" s="40">
        <v>31689253.199999999</v>
      </c>
      <c r="CM63" s="87">
        <v>6.25E-2</v>
      </c>
      <c r="CN63" s="40"/>
      <c r="CO63" s="40">
        <v>235775746.80000001</v>
      </c>
      <c r="CP63" s="40">
        <f t="shared" si="17"/>
        <v>267465000</v>
      </c>
      <c r="CQ63" s="67"/>
      <c r="CR63" s="85">
        <v>53128</v>
      </c>
      <c r="CS63" s="40"/>
      <c r="CT63" s="87"/>
      <c r="CU63" s="40"/>
      <c r="CV63" s="40">
        <f t="shared" si="18"/>
        <v>0</v>
      </c>
      <c r="CW63" s="67"/>
      <c r="CX63" s="85">
        <v>53128</v>
      </c>
      <c r="CY63" s="40"/>
      <c r="CZ63" s="87"/>
      <c r="DA63" s="40"/>
      <c r="DB63" s="40"/>
      <c r="DC63" s="40">
        <f t="shared" si="19"/>
        <v>0</v>
      </c>
      <c r="DD63" s="40"/>
      <c r="DE63" s="85">
        <v>53128</v>
      </c>
      <c r="DG63" s="87"/>
      <c r="DJ63" s="40">
        <f t="shared" si="8"/>
        <v>0</v>
      </c>
      <c r="DK63" s="40"/>
      <c r="DL63" s="85">
        <v>53128</v>
      </c>
      <c r="DR63" s="85">
        <v>53128</v>
      </c>
      <c r="DV63" s="40">
        <f t="shared" si="20"/>
        <v>0</v>
      </c>
      <c r="DX63" s="85">
        <v>53128</v>
      </c>
      <c r="EB63" s="40">
        <f t="shared" si="21"/>
        <v>0</v>
      </c>
      <c r="ED63" s="85">
        <v>53128</v>
      </c>
      <c r="EI63" s="40">
        <f t="shared" si="22"/>
        <v>0</v>
      </c>
      <c r="EK63" s="85">
        <v>53128</v>
      </c>
      <c r="EP63" s="40">
        <f t="shared" si="23"/>
        <v>0</v>
      </c>
      <c r="ER63" s="85">
        <v>53128</v>
      </c>
      <c r="EW63" s="40">
        <f t="shared" si="24"/>
        <v>0</v>
      </c>
      <c r="EY63" s="85">
        <v>53128</v>
      </c>
      <c r="FD63" s="40">
        <f t="shared" si="25"/>
        <v>0</v>
      </c>
    </row>
    <row r="64" spans="1:160" x14ac:dyDescent="0.4">
      <c r="F64" s="85">
        <v>53327</v>
      </c>
      <c r="G64" s="85"/>
      <c r="H64" s="85">
        <v>53311</v>
      </c>
      <c r="I64" s="40"/>
      <c r="O64" s="85">
        <v>53327</v>
      </c>
      <c r="P64" s="85"/>
      <c r="Q64" s="85">
        <v>53311</v>
      </c>
      <c r="R64" s="40">
        <f t="shared" si="29"/>
        <v>8184198.4000000004</v>
      </c>
      <c r="S64" s="40">
        <f t="shared" si="30"/>
        <v>32821517.5</v>
      </c>
      <c r="T64" s="40">
        <f t="shared" si="31"/>
        <v>2595801.6</v>
      </c>
      <c r="U64" s="40">
        <f t="shared" si="32"/>
        <v>0</v>
      </c>
      <c r="V64" s="40">
        <f t="shared" si="26"/>
        <v>43601517.5</v>
      </c>
      <c r="X64" s="85">
        <v>53311</v>
      </c>
      <c r="Y64" s="40">
        <v>1850000</v>
      </c>
      <c r="Z64" s="101">
        <v>0.05</v>
      </c>
      <c r="AA64" s="40"/>
      <c r="AB64" s="101"/>
      <c r="AC64" s="40">
        <f t="shared" si="27"/>
        <v>19736875</v>
      </c>
      <c r="AD64" s="40"/>
      <c r="AE64" s="40"/>
      <c r="AF64" s="40">
        <f t="shared" si="11"/>
        <v>21586875</v>
      </c>
      <c r="AH64" s="85">
        <v>53311</v>
      </c>
      <c r="AI64" s="40"/>
      <c r="AJ64" s="40"/>
      <c r="AK64" s="40"/>
      <c r="AL64" s="40"/>
      <c r="AM64" s="40"/>
      <c r="AN64" s="40">
        <f t="shared" si="33"/>
        <v>0</v>
      </c>
      <c r="AP64" s="85">
        <v>53311</v>
      </c>
      <c r="AQ64" s="40">
        <v>0</v>
      </c>
      <c r="AR64" s="101"/>
      <c r="AS64" s="40">
        <v>4750125</v>
      </c>
      <c r="AT64" s="40">
        <v>0</v>
      </c>
      <c r="AU64" s="40"/>
      <c r="AV64" s="40">
        <f t="shared" si="12"/>
        <v>4750125</v>
      </c>
      <c r="AX64" s="85">
        <v>53311</v>
      </c>
      <c r="AY64" s="40">
        <v>2769198.4</v>
      </c>
      <c r="AZ64" s="101">
        <v>4.9500000000000002E-2</v>
      </c>
      <c r="BA64" s="40">
        <v>419017.5</v>
      </c>
      <c r="BB64" s="40">
        <v>2595801.6</v>
      </c>
      <c r="BC64" s="40">
        <f t="shared" si="13"/>
        <v>5784017.5</v>
      </c>
      <c r="BE64" s="85">
        <v>53311</v>
      </c>
      <c r="BF64" s="40">
        <v>0</v>
      </c>
      <c r="BG64" s="40"/>
      <c r="BH64" s="40">
        <v>3425625</v>
      </c>
      <c r="BI64" s="40">
        <v>0</v>
      </c>
      <c r="BJ64" s="40">
        <f t="shared" si="14"/>
        <v>3425625</v>
      </c>
      <c r="BL64" s="85">
        <v>53311</v>
      </c>
      <c r="BM64" s="40">
        <v>3565000</v>
      </c>
      <c r="BN64" s="101">
        <v>0.05</v>
      </c>
      <c r="BO64" s="40">
        <v>729875</v>
      </c>
      <c r="BP64" s="40">
        <f t="shared" si="15"/>
        <v>4294875</v>
      </c>
      <c r="BR64" s="85">
        <v>53311</v>
      </c>
      <c r="BV64" s="40">
        <f t="shared" si="16"/>
        <v>0</v>
      </c>
      <c r="BX64" s="85">
        <v>53311</v>
      </c>
      <c r="BY64" s="40">
        <v>0</v>
      </c>
      <c r="BZ64" s="87">
        <v>0</v>
      </c>
      <c r="CA64" s="40">
        <v>3760000</v>
      </c>
      <c r="CB64" s="40">
        <v>0</v>
      </c>
      <c r="CC64" s="40">
        <f t="shared" si="6"/>
        <v>3760000</v>
      </c>
      <c r="CD64" s="67"/>
      <c r="CE64" s="85">
        <v>53311</v>
      </c>
      <c r="CG64" s="87"/>
      <c r="CJ64" s="67"/>
      <c r="CK64" s="85">
        <v>53311</v>
      </c>
      <c r="CL64" s="40"/>
      <c r="CM64" s="87"/>
      <c r="CN64" s="40"/>
      <c r="CO64" s="40">
        <v>0</v>
      </c>
      <c r="CP64" s="40">
        <f t="shared" si="17"/>
        <v>0</v>
      </c>
      <c r="CQ64" s="67"/>
      <c r="CR64" s="85">
        <v>53311</v>
      </c>
      <c r="CS64" s="40"/>
      <c r="CT64" s="87"/>
      <c r="CU64" s="40"/>
      <c r="CV64" s="40">
        <f t="shared" si="18"/>
        <v>0</v>
      </c>
      <c r="CW64" s="67"/>
      <c r="CX64" s="85">
        <v>53311</v>
      </c>
      <c r="CY64" s="40"/>
      <c r="CZ64" s="87"/>
      <c r="DA64" s="40"/>
      <c r="DB64" s="40"/>
      <c r="DC64" s="40">
        <f t="shared" si="19"/>
        <v>0</v>
      </c>
      <c r="DD64" s="40"/>
      <c r="DE64" s="85">
        <v>53311</v>
      </c>
      <c r="DG64" s="87"/>
      <c r="DJ64" s="40">
        <f t="shared" si="8"/>
        <v>0</v>
      </c>
      <c r="DK64" s="40"/>
      <c r="DL64" s="85">
        <v>53311</v>
      </c>
      <c r="DR64" s="85">
        <v>53311</v>
      </c>
      <c r="DV64" s="40">
        <f t="shared" si="20"/>
        <v>0</v>
      </c>
      <c r="DX64" s="85">
        <v>53311</v>
      </c>
      <c r="EB64" s="40">
        <f t="shared" si="21"/>
        <v>0</v>
      </c>
      <c r="ED64" s="85">
        <v>53311</v>
      </c>
      <c r="EI64" s="40">
        <f t="shared" si="22"/>
        <v>0</v>
      </c>
      <c r="EK64" s="85">
        <v>53311</v>
      </c>
      <c r="EP64" s="40">
        <f t="shared" si="23"/>
        <v>0</v>
      </c>
      <c r="ER64" s="85">
        <v>53311</v>
      </c>
      <c r="EW64" s="40">
        <f t="shared" si="24"/>
        <v>0</v>
      </c>
      <c r="EY64" s="85">
        <v>53311</v>
      </c>
      <c r="FD64" s="40">
        <f t="shared" si="25"/>
        <v>0</v>
      </c>
    </row>
    <row r="65" spans="6:160" x14ac:dyDescent="0.4">
      <c r="F65" s="85">
        <v>53508</v>
      </c>
      <c r="G65" s="85"/>
      <c r="H65" s="85">
        <v>53493</v>
      </c>
      <c r="I65" s="40">
        <f>SUM(Y64:Y65,AA64:AA65,AI64:AI65,AQ64:AQ65,AY64:AY65,BF64:BF65,BM64:BM65,BS64:BS65,BY64:BY65,CF64:CF65,CL64:CL65,CS64:CS65,CY64:CY65,DF64:DF65,DM64:DM65,DS64:DS65,DY64:DY65,EE64:EE65,EL64:EL65,ES64:ES65,EZ64:EZ65)</f>
        <v>37983031.100000001</v>
      </c>
      <c r="J65" s="40">
        <f>SUM(AC64:AC65,AK64:AK65,AS64:AS65,BA64:BA65,BH64:BH65,BO64:BO65,BU64:BU65,CA64:CA65,CH64:CH65,CN64:CN65,CU64:CU65,DA64:DA65,DH64:DH65,DO64:DO65,DU64:DU65,EA64:EA65,EG64:EG65,EN64:EN65,EU64:EU65,FB64:FB65)</f>
        <v>65374876.25</v>
      </c>
      <c r="K65" s="40">
        <f>SUM(AD64:AD65,AL64:AL65,AT64:AT65,BB64:BB65,BI64:BI65,CB64:CB65,CO64:CO65,DB64:DB65,DI64:DI65,EH64:EH65,EO64:EO65,EV64:EV65,FC64:FC65)</f>
        <v>240266968.90000001</v>
      </c>
      <c r="L65" s="40">
        <f>SUM(AE64:AE65,AM64:AM65,AU64:AU65)</f>
        <v>0</v>
      </c>
      <c r="M65" s="40">
        <f>SUM(I65:L65)</f>
        <v>343624876.25</v>
      </c>
      <c r="O65" s="85">
        <v>53508</v>
      </c>
      <c r="P65" s="85"/>
      <c r="Q65" s="85">
        <v>53493</v>
      </c>
      <c r="R65" s="40">
        <f t="shared" si="29"/>
        <v>29798832.699999999</v>
      </c>
      <c r="S65" s="40">
        <f t="shared" si="30"/>
        <v>32553358.75</v>
      </c>
      <c r="T65" s="40">
        <f t="shared" si="31"/>
        <v>237671167.30000001</v>
      </c>
      <c r="U65" s="40">
        <f t="shared" si="32"/>
        <v>0</v>
      </c>
      <c r="V65" s="40">
        <f t="shared" si="26"/>
        <v>300023358.75</v>
      </c>
      <c r="X65" s="85">
        <v>53493</v>
      </c>
      <c r="Y65" s="40"/>
      <c r="Z65" s="101"/>
      <c r="AA65" s="40"/>
      <c r="AB65" s="101"/>
      <c r="AC65" s="40">
        <f t="shared" si="27"/>
        <v>19690625</v>
      </c>
      <c r="AD65" s="40"/>
      <c r="AE65" s="40"/>
      <c r="AF65" s="40">
        <f t="shared" si="11"/>
        <v>19690625</v>
      </c>
      <c r="AH65" s="85">
        <v>53493</v>
      </c>
      <c r="AI65" s="40"/>
      <c r="AJ65" s="40"/>
      <c r="AK65" s="40"/>
      <c r="AL65" s="40"/>
      <c r="AM65" s="40"/>
      <c r="AN65" s="40">
        <f t="shared" si="33"/>
        <v>0</v>
      </c>
      <c r="AP65" s="85">
        <v>53493</v>
      </c>
      <c r="AQ65" s="40">
        <v>0</v>
      </c>
      <c r="AR65" s="101"/>
      <c r="AS65" s="40">
        <v>4750125</v>
      </c>
      <c r="AT65" s="40">
        <v>0</v>
      </c>
      <c r="AU65" s="40"/>
      <c r="AV65" s="40">
        <f t="shared" si="12"/>
        <v>4750125</v>
      </c>
      <c r="AX65" s="85">
        <v>53493</v>
      </c>
      <c r="AY65" s="40">
        <v>0</v>
      </c>
      <c r="BA65" s="40">
        <v>286233.75</v>
      </c>
      <c r="BB65" s="40">
        <v>0</v>
      </c>
      <c r="BC65" s="40">
        <f t="shared" si="13"/>
        <v>286233.75</v>
      </c>
      <c r="BE65" s="85">
        <v>53493</v>
      </c>
      <c r="BF65" s="40">
        <v>0</v>
      </c>
      <c r="BG65" s="40"/>
      <c r="BH65" s="40">
        <v>3425625</v>
      </c>
      <c r="BI65" s="40">
        <v>0</v>
      </c>
      <c r="BJ65" s="40">
        <f t="shared" si="14"/>
        <v>3425625</v>
      </c>
      <c r="BL65" s="85">
        <v>53493</v>
      </c>
      <c r="BM65" s="40">
        <v>0</v>
      </c>
      <c r="BN65" s="40"/>
      <c r="BO65" s="40">
        <v>640750</v>
      </c>
      <c r="BP65" s="40">
        <f t="shared" si="15"/>
        <v>640750</v>
      </c>
      <c r="BR65" s="85">
        <v>53493</v>
      </c>
      <c r="BV65" s="40">
        <f t="shared" si="16"/>
        <v>0</v>
      </c>
      <c r="BX65" s="85">
        <v>53493</v>
      </c>
      <c r="BY65" s="40">
        <v>0</v>
      </c>
      <c r="BZ65" s="87">
        <v>0</v>
      </c>
      <c r="CA65" s="40">
        <v>3760000</v>
      </c>
      <c r="CB65" s="40">
        <v>0</v>
      </c>
      <c r="CC65" s="40">
        <f t="shared" si="6"/>
        <v>3760000</v>
      </c>
      <c r="CD65" s="67"/>
      <c r="CE65" s="85">
        <v>53493</v>
      </c>
      <c r="CG65" s="87"/>
      <c r="CJ65" s="67"/>
      <c r="CK65" s="85">
        <v>53493</v>
      </c>
      <c r="CL65" s="40">
        <v>29798832.699999999</v>
      </c>
      <c r="CM65" s="123">
        <v>6.25E-2</v>
      </c>
      <c r="CN65" s="40"/>
      <c r="CO65" s="40">
        <v>237671167.30000001</v>
      </c>
      <c r="CP65" s="40">
        <f t="shared" si="17"/>
        <v>267470000</v>
      </c>
      <c r="CQ65" s="67"/>
      <c r="CR65" s="85">
        <v>53493</v>
      </c>
      <c r="CS65" s="40"/>
      <c r="CT65" s="87"/>
      <c r="CU65" s="40"/>
      <c r="CV65" s="40">
        <f t="shared" si="18"/>
        <v>0</v>
      </c>
      <c r="CW65" s="67"/>
      <c r="CX65" s="85">
        <v>53493</v>
      </c>
      <c r="CY65" s="40"/>
      <c r="CZ65" s="87"/>
      <c r="DA65" s="40"/>
      <c r="DB65" s="40"/>
      <c r="DC65" s="40">
        <f t="shared" si="19"/>
        <v>0</v>
      </c>
      <c r="DD65" s="40"/>
      <c r="DE65" s="85">
        <v>53493</v>
      </c>
      <c r="DG65" s="87"/>
      <c r="DJ65" s="40">
        <f t="shared" si="8"/>
        <v>0</v>
      </c>
      <c r="DK65" s="40"/>
      <c r="DL65" s="85">
        <v>53493</v>
      </c>
      <c r="DR65" s="85">
        <v>53493</v>
      </c>
      <c r="DV65" s="40">
        <f t="shared" si="20"/>
        <v>0</v>
      </c>
      <c r="DX65" s="85">
        <v>53493</v>
      </c>
      <c r="EB65" s="40">
        <f t="shared" si="21"/>
        <v>0</v>
      </c>
      <c r="ED65" s="85">
        <v>53493</v>
      </c>
      <c r="EI65" s="40">
        <f t="shared" si="22"/>
        <v>0</v>
      </c>
      <c r="EK65" s="85">
        <v>53493</v>
      </c>
      <c r="EP65" s="40">
        <f t="shared" si="23"/>
        <v>0</v>
      </c>
      <c r="ER65" s="85">
        <v>53493</v>
      </c>
      <c r="EW65" s="40">
        <f t="shared" si="24"/>
        <v>0</v>
      </c>
      <c r="EY65" s="85">
        <v>53493</v>
      </c>
      <c r="FD65" s="40">
        <f t="shared" si="25"/>
        <v>0</v>
      </c>
    </row>
    <row r="66" spans="6:160" x14ac:dyDescent="0.4">
      <c r="F66" s="85">
        <v>53692</v>
      </c>
      <c r="G66" s="85"/>
      <c r="H66" s="85">
        <v>53676</v>
      </c>
      <c r="I66" s="40"/>
      <c r="O66" s="85">
        <v>53692</v>
      </c>
      <c r="P66" s="85"/>
      <c r="Q66" s="85">
        <v>53676</v>
      </c>
      <c r="R66" s="40">
        <f t="shared" si="29"/>
        <v>63856142.399999999</v>
      </c>
      <c r="S66" s="40">
        <f t="shared" si="30"/>
        <v>32553358.75</v>
      </c>
      <c r="T66" s="40">
        <f t="shared" si="31"/>
        <v>2728857.6000000001</v>
      </c>
      <c r="U66" s="40">
        <f t="shared" si="32"/>
        <v>0</v>
      </c>
      <c r="V66" s="40">
        <f t="shared" si="26"/>
        <v>99138358.75</v>
      </c>
      <c r="X66" s="85">
        <v>53676</v>
      </c>
      <c r="Y66" s="40">
        <v>57195000</v>
      </c>
      <c r="Z66" s="101">
        <v>0.05</v>
      </c>
      <c r="AA66" s="40"/>
      <c r="AB66" s="101"/>
      <c r="AC66" s="40">
        <f t="shared" si="27"/>
        <v>19690625</v>
      </c>
      <c r="AD66" s="40"/>
      <c r="AE66" s="40"/>
      <c r="AF66" s="40">
        <f t="shared" si="11"/>
        <v>76885625</v>
      </c>
      <c r="AH66" s="85">
        <v>53676</v>
      </c>
      <c r="AI66" s="40"/>
      <c r="AJ66" s="40"/>
      <c r="AK66" s="40"/>
      <c r="AL66" s="40"/>
      <c r="AM66" s="40"/>
      <c r="AN66" s="40">
        <f t="shared" si="33"/>
        <v>0</v>
      </c>
      <c r="AP66" s="85">
        <v>53676</v>
      </c>
      <c r="AQ66" s="40">
        <v>0</v>
      </c>
      <c r="AR66" s="101"/>
      <c r="AS66" s="40">
        <v>4750125</v>
      </c>
      <c r="AT66" s="40">
        <v>0</v>
      </c>
      <c r="AU66" s="40"/>
      <c r="AV66" s="40">
        <f t="shared" si="12"/>
        <v>4750125</v>
      </c>
      <c r="AX66" s="85">
        <v>53676</v>
      </c>
      <c r="AY66" s="40">
        <v>2911142.4</v>
      </c>
      <c r="AZ66" s="101">
        <v>4.9500000000000002E-2</v>
      </c>
      <c r="BA66" s="40">
        <v>286233.75</v>
      </c>
      <c r="BB66" s="40">
        <v>2728857.6000000001</v>
      </c>
      <c r="BC66" s="40">
        <f t="shared" si="13"/>
        <v>5926233.75</v>
      </c>
      <c r="BE66" s="85">
        <v>53676</v>
      </c>
      <c r="BF66" s="40">
        <v>0</v>
      </c>
      <c r="BG66" s="40"/>
      <c r="BH66" s="40">
        <v>3425625</v>
      </c>
      <c r="BI66" s="40">
        <v>0</v>
      </c>
      <c r="BJ66" s="40">
        <f t="shared" si="14"/>
        <v>3425625</v>
      </c>
      <c r="BL66" s="85">
        <v>53676</v>
      </c>
      <c r="BM66" s="40">
        <v>3750000</v>
      </c>
      <c r="BN66" s="101">
        <v>0.05</v>
      </c>
      <c r="BO66" s="40">
        <v>640750</v>
      </c>
      <c r="BP66" s="40">
        <f t="shared" si="15"/>
        <v>4390750</v>
      </c>
      <c r="BR66" s="85">
        <v>53676</v>
      </c>
      <c r="BV66" s="40">
        <f t="shared" si="16"/>
        <v>0</v>
      </c>
      <c r="BX66" s="85">
        <v>53676</v>
      </c>
      <c r="BY66" s="40">
        <v>0</v>
      </c>
      <c r="BZ66" s="87">
        <v>0</v>
      </c>
      <c r="CA66" s="40">
        <v>3760000</v>
      </c>
      <c r="CB66" s="40">
        <v>0</v>
      </c>
      <c r="CC66" s="40">
        <f t="shared" si="6"/>
        <v>3760000</v>
      </c>
      <c r="CD66" s="67"/>
      <c r="CE66" s="85">
        <v>53676</v>
      </c>
      <c r="CG66" s="87"/>
      <c r="CJ66" s="67"/>
      <c r="CK66" s="85">
        <v>53676</v>
      </c>
      <c r="CL66" s="40"/>
      <c r="CM66" s="123"/>
      <c r="CN66" s="40"/>
      <c r="CO66" s="40">
        <v>0</v>
      </c>
      <c r="CP66" s="40">
        <f t="shared" si="17"/>
        <v>0</v>
      </c>
      <c r="CQ66" s="67"/>
      <c r="CR66" s="85">
        <v>53676</v>
      </c>
      <c r="CS66" s="40"/>
      <c r="CT66" s="87"/>
      <c r="CU66" s="40"/>
      <c r="CV66" s="40">
        <f t="shared" si="18"/>
        <v>0</v>
      </c>
      <c r="CW66" s="67"/>
      <c r="CX66" s="85">
        <v>53676</v>
      </c>
      <c r="CY66" s="40"/>
      <c r="CZ66" s="87"/>
      <c r="DA66" s="40"/>
      <c r="DB66" s="40"/>
      <c r="DC66" s="40">
        <f t="shared" si="19"/>
        <v>0</v>
      </c>
      <c r="DD66" s="40"/>
      <c r="DE66" s="85">
        <v>53676</v>
      </c>
      <c r="DF66" s="40"/>
      <c r="DG66" s="87"/>
      <c r="DH66" s="40"/>
      <c r="DI66" s="40"/>
      <c r="DJ66" s="40">
        <f t="shared" si="8"/>
        <v>0</v>
      </c>
      <c r="DK66" s="40"/>
      <c r="DL66" s="85">
        <v>53676</v>
      </c>
      <c r="DQ66" s="67"/>
      <c r="DR66" s="85">
        <v>53676</v>
      </c>
      <c r="DV66" s="40">
        <f t="shared" si="20"/>
        <v>0</v>
      </c>
      <c r="DW66" s="67"/>
      <c r="DX66" s="85">
        <v>53676</v>
      </c>
      <c r="EB66" s="40">
        <f t="shared" si="21"/>
        <v>0</v>
      </c>
      <c r="EC66" s="67"/>
      <c r="ED66" s="85">
        <v>53676</v>
      </c>
      <c r="EI66" s="40">
        <f t="shared" si="22"/>
        <v>0</v>
      </c>
      <c r="EJ66" s="67"/>
      <c r="EK66" s="85">
        <v>53676</v>
      </c>
      <c r="EP66" s="40">
        <f t="shared" si="23"/>
        <v>0</v>
      </c>
      <c r="EQ66" s="67"/>
      <c r="ER66" s="85">
        <v>53676</v>
      </c>
      <c r="EW66" s="40">
        <f t="shared" si="24"/>
        <v>0</v>
      </c>
      <c r="EX66" s="67"/>
      <c r="EY66" s="85">
        <v>53676</v>
      </c>
      <c r="FD66" s="40">
        <f t="shared" si="25"/>
        <v>0</v>
      </c>
    </row>
    <row r="67" spans="6:160" x14ac:dyDescent="0.4">
      <c r="F67" s="85">
        <v>53873</v>
      </c>
      <c r="G67" s="85"/>
      <c r="H67" s="85">
        <v>53858</v>
      </c>
      <c r="I67" s="40">
        <f>SUM(Y66:Y67,AA66:AA67,AI66:AI67,AQ66:AQ67,AY66:AY67,BF66:BF67,BM66:BM67,BS66:BS67,BY66:BY67,CF66:CF67,CL66:CL67,CS66:CS67,CY66:CY67,DF66:DF67,DM66:DM67,DS66:DS67,DY66:DY67,EE66:EE67,EL66:EL67,ES66:ES67,EZ66:EZ67)</f>
        <v>86232354.599999994</v>
      </c>
      <c r="J67" s="40">
        <f>SUM(AC66:AC67,AK66:AK67,AS66:AS67,BA66:BA67,BH66:BH67,BO66:BO67,BU66:BU67,CA66:CA67,CH66:CH67,CN66:CN67,CU66:CU67,DA66:DA67,DH66:DH67,DO66:DO67,DU66:DU67,EA66:EA67,EG66:EG67,EN66:EN67,EU66:EU67,FB66:FB67)</f>
        <v>63443502.5</v>
      </c>
      <c r="K67" s="40">
        <f>SUM(AD66:AD67,AL66:AL67,AT66:AT67,BB66:BB67,BI66:BI67,CB66:CB67,CO66:CO67,DB66:DB67,DI66:DI67,EH66:EH67,EO66:EO67,EV66:EV67,FC66:FC67)</f>
        <v>193947645.40000001</v>
      </c>
      <c r="L67" s="40">
        <f>SUM(AE66:AE67,AM66:AM67,AU66:AU67)</f>
        <v>0</v>
      </c>
      <c r="M67" s="40">
        <f>SUM(I67:L67)</f>
        <v>343623502.5</v>
      </c>
      <c r="O67" s="85">
        <v>53873</v>
      </c>
      <c r="P67" s="85"/>
      <c r="Q67" s="85">
        <v>53858</v>
      </c>
      <c r="R67" s="40">
        <f t="shared" si="29"/>
        <v>22376212.199999999</v>
      </c>
      <c r="S67" s="40">
        <f t="shared" si="30"/>
        <v>30890143.75</v>
      </c>
      <c r="T67" s="40">
        <f t="shared" si="31"/>
        <v>191218787.80000001</v>
      </c>
      <c r="U67" s="40">
        <f t="shared" si="32"/>
        <v>0</v>
      </c>
      <c r="V67" s="40">
        <f t="shared" si="26"/>
        <v>244485143.75</v>
      </c>
      <c r="X67" s="85">
        <v>53858</v>
      </c>
      <c r="Y67" s="40"/>
      <c r="Z67" s="101"/>
      <c r="AA67" s="40"/>
      <c r="AB67" s="101"/>
      <c r="AC67" s="40">
        <f t="shared" si="27"/>
        <v>18260750</v>
      </c>
      <c r="AD67" s="40"/>
      <c r="AE67" s="40"/>
      <c r="AF67" s="40">
        <f t="shared" si="11"/>
        <v>18260750</v>
      </c>
      <c r="AH67" s="85">
        <v>53858</v>
      </c>
      <c r="AI67" s="40"/>
      <c r="AJ67" s="40"/>
      <c r="AK67" s="40"/>
      <c r="AL67" s="40"/>
      <c r="AM67" s="40"/>
      <c r="AN67" s="40">
        <f t="shared" si="33"/>
        <v>0</v>
      </c>
      <c r="AP67" s="85">
        <v>53858</v>
      </c>
      <c r="AQ67" s="40">
        <v>0</v>
      </c>
      <c r="AR67" s="101"/>
      <c r="AS67" s="40">
        <v>4750125</v>
      </c>
      <c r="AT67" s="40">
        <v>0</v>
      </c>
      <c r="AU67" s="40"/>
      <c r="AV67" s="40">
        <f t="shared" si="12"/>
        <v>4750125</v>
      </c>
      <c r="AX67" s="85">
        <v>53858</v>
      </c>
      <c r="AY67" s="40">
        <v>0</v>
      </c>
      <c r="BA67" s="40">
        <v>146643.75</v>
      </c>
      <c r="BB67" s="40">
        <v>0</v>
      </c>
      <c r="BC67" s="40">
        <f t="shared" si="13"/>
        <v>146643.75</v>
      </c>
      <c r="BE67" s="85">
        <v>53858</v>
      </c>
      <c r="BF67" s="40">
        <v>0</v>
      </c>
      <c r="BG67" s="40"/>
      <c r="BH67" s="40">
        <v>3425625</v>
      </c>
      <c r="BI67" s="40">
        <v>0</v>
      </c>
      <c r="BJ67" s="40">
        <f t="shared" si="14"/>
        <v>3425625</v>
      </c>
      <c r="BL67" s="85">
        <v>53858</v>
      </c>
      <c r="BM67" s="40">
        <v>0</v>
      </c>
      <c r="BN67" s="40"/>
      <c r="BO67" s="40">
        <v>547000</v>
      </c>
      <c r="BP67" s="40">
        <f t="shared" si="15"/>
        <v>547000</v>
      </c>
      <c r="BR67" s="85">
        <v>53858</v>
      </c>
      <c r="BV67" s="40">
        <f t="shared" si="16"/>
        <v>0</v>
      </c>
      <c r="BX67" s="85">
        <v>53858</v>
      </c>
      <c r="BY67" s="40">
        <v>0</v>
      </c>
      <c r="BZ67" s="87">
        <v>0</v>
      </c>
      <c r="CA67" s="40">
        <v>3760000</v>
      </c>
      <c r="CB67" s="40">
        <v>0</v>
      </c>
      <c r="CC67" s="40">
        <f t="shared" si="6"/>
        <v>3760000</v>
      </c>
      <c r="CD67" s="67"/>
      <c r="CE67" s="85">
        <v>53858</v>
      </c>
      <c r="CG67" s="87"/>
      <c r="CJ67" s="67"/>
      <c r="CK67" s="85">
        <v>53858</v>
      </c>
      <c r="CL67" s="40">
        <v>22376212.199999999</v>
      </c>
      <c r="CM67" s="123">
        <v>6.25E-2</v>
      </c>
      <c r="CN67" s="40"/>
      <c r="CO67" s="40">
        <v>191218787.80000001</v>
      </c>
      <c r="CP67" s="40">
        <f t="shared" si="17"/>
        <v>213595000</v>
      </c>
      <c r="CQ67" s="67"/>
      <c r="CR67" s="85">
        <v>53858</v>
      </c>
      <c r="CS67" s="40"/>
      <c r="CT67" s="87"/>
      <c r="CU67" s="40"/>
      <c r="CV67" s="40">
        <f t="shared" si="18"/>
        <v>0</v>
      </c>
      <c r="CW67" s="67"/>
      <c r="CX67" s="85">
        <v>53858</v>
      </c>
      <c r="CY67" s="40"/>
      <c r="CZ67" s="87"/>
      <c r="DA67" s="40"/>
      <c r="DB67" s="40"/>
      <c r="DC67" s="40">
        <f t="shared" si="19"/>
        <v>0</v>
      </c>
      <c r="DD67" s="40"/>
      <c r="DE67" s="85">
        <v>53858</v>
      </c>
      <c r="DF67" s="40"/>
      <c r="DG67" s="87"/>
      <c r="DH67" s="40"/>
      <c r="DI67" s="40"/>
      <c r="DJ67" s="40">
        <f t="shared" si="8"/>
        <v>0</v>
      </c>
      <c r="DK67" s="40"/>
      <c r="DL67" s="85">
        <v>53858</v>
      </c>
      <c r="DQ67" s="67"/>
      <c r="DR67" s="85">
        <v>53858</v>
      </c>
      <c r="DV67" s="40">
        <f t="shared" si="20"/>
        <v>0</v>
      </c>
      <c r="DW67" s="67"/>
      <c r="DX67" s="85">
        <v>53858</v>
      </c>
      <c r="EB67" s="40">
        <f t="shared" si="21"/>
        <v>0</v>
      </c>
      <c r="EC67" s="67"/>
      <c r="ED67" s="85">
        <v>53858</v>
      </c>
      <c r="EI67" s="40">
        <f t="shared" si="22"/>
        <v>0</v>
      </c>
      <c r="EJ67" s="67"/>
      <c r="EK67" s="85">
        <v>53858</v>
      </c>
      <c r="EP67" s="40">
        <f t="shared" si="23"/>
        <v>0</v>
      </c>
      <c r="EQ67" s="67"/>
      <c r="ER67" s="85">
        <v>53858</v>
      </c>
      <c r="EW67" s="40">
        <f t="shared" si="24"/>
        <v>0</v>
      </c>
      <c r="EX67" s="67"/>
      <c r="EY67" s="85">
        <v>53858</v>
      </c>
      <c r="FD67" s="40">
        <f t="shared" si="25"/>
        <v>0</v>
      </c>
    </row>
    <row r="68" spans="6:160" x14ac:dyDescent="0.4">
      <c r="F68" s="85">
        <v>54057</v>
      </c>
      <c r="G68" s="85"/>
      <c r="H68" s="85">
        <v>54041</v>
      </c>
      <c r="I68" s="40"/>
      <c r="O68" s="85">
        <v>54057</v>
      </c>
      <c r="P68" s="85"/>
      <c r="Q68" s="85">
        <v>54041</v>
      </c>
      <c r="R68" s="40">
        <f t="shared" si="29"/>
        <v>171333248</v>
      </c>
      <c r="S68" s="40">
        <f t="shared" si="30"/>
        <v>30890143.75</v>
      </c>
      <c r="T68" s="40">
        <f t="shared" si="31"/>
        <v>2866752</v>
      </c>
      <c r="U68" s="40">
        <f t="shared" si="32"/>
        <v>0</v>
      </c>
      <c r="V68" s="40">
        <f t="shared" si="26"/>
        <v>205090143.75</v>
      </c>
      <c r="X68" s="85">
        <v>54041</v>
      </c>
      <c r="Y68" s="40">
        <v>164330000</v>
      </c>
      <c r="Z68" s="101">
        <v>0.05</v>
      </c>
      <c r="AA68" s="40"/>
      <c r="AB68" s="101"/>
      <c r="AC68" s="40">
        <f t="shared" si="27"/>
        <v>18260750</v>
      </c>
      <c r="AD68" s="40"/>
      <c r="AE68" s="40"/>
      <c r="AF68" s="40">
        <f t="shared" si="11"/>
        <v>182590750</v>
      </c>
      <c r="AH68" s="85">
        <v>54041</v>
      </c>
      <c r="AI68" s="40"/>
      <c r="AJ68" s="40"/>
      <c r="AK68" s="40"/>
      <c r="AL68" s="40"/>
      <c r="AM68" s="40"/>
      <c r="AN68" s="40">
        <f t="shared" si="33"/>
        <v>0</v>
      </c>
      <c r="AP68" s="85">
        <v>54041</v>
      </c>
      <c r="AQ68" s="40">
        <v>0</v>
      </c>
      <c r="AR68" s="101"/>
      <c r="AS68" s="40">
        <v>4750125</v>
      </c>
      <c r="AT68" s="40">
        <v>0</v>
      </c>
      <c r="AU68" s="40"/>
      <c r="AV68" s="40">
        <f t="shared" si="12"/>
        <v>4750125</v>
      </c>
      <c r="AX68" s="85">
        <v>54041</v>
      </c>
      <c r="AY68" s="40">
        <v>3058248</v>
      </c>
      <c r="AZ68" s="101">
        <v>4.9500000000000002E-2</v>
      </c>
      <c r="BA68" s="40">
        <v>146643.75</v>
      </c>
      <c r="BB68" s="40">
        <v>2866752</v>
      </c>
      <c r="BC68" s="40">
        <f t="shared" si="13"/>
        <v>6071643.75</v>
      </c>
      <c r="BE68" s="85">
        <v>54041</v>
      </c>
      <c r="BF68" s="40">
        <v>0</v>
      </c>
      <c r="BG68" s="40"/>
      <c r="BH68" s="40">
        <v>3425625</v>
      </c>
      <c r="BI68" s="40">
        <v>0</v>
      </c>
      <c r="BJ68" s="40">
        <f t="shared" si="14"/>
        <v>3425625</v>
      </c>
      <c r="BL68" s="85">
        <v>54041</v>
      </c>
      <c r="BM68" s="40">
        <v>3945000</v>
      </c>
      <c r="BN68" s="101">
        <v>0.05</v>
      </c>
      <c r="BO68" s="40">
        <v>547000</v>
      </c>
      <c r="BP68" s="40">
        <f t="shared" si="15"/>
        <v>4492000</v>
      </c>
      <c r="BR68" s="85">
        <v>54041</v>
      </c>
      <c r="BV68" s="40">
        <f t="shared" si="16"/>
        <v>0</v>
      </c>
      <c r="BX68" s="85">
        <v>54041</v>
      </c>
      <c r="BY68" s="40">
        <v>0</v>
      </c>
      <c r="BZ68" s="87">
        <v>0</v>
      </c>
      <c r="CA68" s="40">
        <v>3760000</v>
      </c>
      <c r="CB68" s="40">
        <v>0</v>
      </c>
      <c r="CC68" s="40">
        <f t="shared" si="6"/>
        <v>3760000</v>
      </c>
      <c r="CD68" s="67"/>
      <c r="CE68" s="85">
        <v>54041</v>
      </c>
      <c r="CG68" s="87"/>
      <c r="CJ68" s="67"/>
      <c r="CK68" s="85">
        <v>54041</v>
      </c>
      <c r="CL68" s="40"/>
      <c r="CM68" s="123"/>
      <c r="CN68" s="40"/>
      <c r="CO68" s="40"/>
      <c r="CP68" s="40">
        <f t="shared" si="17"/>
        <v>0</v>
      </c>
      <c r="CQ68" s="67"/>
      <c r="CR68" s="85">
        <v>54041</v>
      </c>
      <c r="CS68" s="40"/>
      <c r="CT68" s="87"/>
      <c r="CU68" s="40"/>
      <c r="CV68" s="40">
        <f t="shared" si="18"/>
        <v>0</v>
      </c>
      <c r="CW68" s="67"/>
      <c r="CX68" s="85">
        <v>54041</v>
      </c>
      <c r="CY68" s="40"/>
      <c r="CZ68" s="87"/>
      <c r="DA68" s="40"/>
      <c r="DB68" s="40"/>
      <c r="DC68" s="40">
        <f t="shared" si="19"/>
        <v>0</v>
      </c>
      <c r="DD68" s="40"/>
      <c r="DE68" s="85">
        <v>54041</v>
      </c>
      <c r="DF68" s="40"/>
      <c r="DG68" s="87"/>
      <c r="DH68" s="40"/>
      <c r="DI68" s="40"/>
      <c r="DJ68" s="40">
        <f t="shared" si="8"/>
        <v>0</v>
      </c>
      <c r="DK68" s="40"/>
      <c r="DL68" s="85">
        <v>54041</v>
      </c>
      <c r="DQ68" s="67"/>
      <c r="DR68" s="85">
        <v>54041</v>
      </c>
      <c r="DV68" s="40">
        <f t="shared" si="20"/>
        <v>0</v>
      </c>
      <c r="DW68" s="67"/>
      <c r="DX68" s="85">
        <v>54041</v>
      </c>
      <c r="EB68" s="40">
        <f t="shared" si="21"/>
        <v>0</v>
      </c>
      <c r="EC68" s="67"/>
      <c r="ED68" s="85">
        <v>54041</v>
      </c>
      <c r="EI68" s="40">
        <f t="shared" si="22"/>
        <v>0</v>
      </c>
      <c r="EJ68" s="67"/>
      <c r="EK68" s="85">
        <v>54041</v>
      </c>
      <c r="EP68" s="40">
        <f t="shared" si="23"/>
        <v>0</v>
      </c>
      <c r="EQ68" s="67"/>
      <c r="ER68" s="85">
        <v>54041</v>
      </c>
      <c r="EW68" s="40">
        <f t="shared" si="24"/>
        <v>0</v>
      </c>
      <c r="EX68" s="67"/>
      <c r="EY68" s="85">
        <v>54041</v>
      </c>
      <c r="FD68" s="40">
        <f t="shared" si="25"/>
        <v>0</v>
      </c>
    </row>
    <row r="69" spans="6:160" x14ac:dyDescent="0.4">
      <c r="F69" s="85">
        <v>54239</v>
      </c>
      <c r="G69" s="85"/>
      <c r="H69" s="85">
        <v>54224</v>
      </c>
      <c r="I69" s="40">
        <f>SUM(Y68:Y69,AA68:AA69,AI68:AI69,AQ68:AQ69,AY68:AY69,BF68:BF69,BM68:BM69,BS68:BS69,BY68:BY69,CF68:CF69,CL68:CL69,CS68:CS69,CY68:CY69,DF68:DF69,DM68:DM69,DS68:DS69,DY68:DY69,EE68:EE69,EL68:EL69,ES68:ES69,EZ68:EZ69)</f>
        <v>283333248</v>
      </c>
      <c r="J69" s="40">
        <f>SUM(AC68:AC69,AK68:AK69,AS68:AS69,BA68:BA69,BH68:BH69,BO68:BO69,BU68:BU69,CA68:CA69,CH68:CH69,CN68:CN69,CU68:CU69,DA68:DA69,DH68:DH69,DO68:DO69,DU68:DU69,EA68:EA69,EG68:EG69,EN68:EN69,EU68:EU69,FB68:FB69)</f>
        <v>57426768.75</v>
      </c>
      <c r="K69" s="40">
        <f>SUM(AD68:AD69,AL68:AL69,AT68:AT69,BB68:BB69,BI68:BI69,CB68:CB69,CO68:CO69,DB68:DB69,DI68:DI69,EH68:EH69,EO68:EO69,EV68:EV69,FC68:FC69)</f>
        <v>2866752</v>
      </c>
      <c r="L69" s="40">
        <f>SUM(AE68:AE69,AM68:AM69,AU68:AU69)</f>
        <v>0</v>
      </c>
      <c r="M69" s="40">
        <f>SUM(I69:L69)</f>
        <v>343626768.75</v>
      </c>
      <c r="O69" s="85">
        <v>54239</v>
      </c>
      <c r="P69" s="85"/>
      <c r="Q69" s="85">
        <v>54224</v>
      </c>
      <c r="R69" s="40">
        <f t="shared" si="29"/>
        <v>112000000</v>
      </c>
      <c r="S69" s="40">
        <f t="shared" si="30"/>
        <v>26536625</v>
      </c>
      <c r="T69" s="40">
        <f t="shared" si="31"/>
        <v>0</v>
      </c>
      <c r="U69" s="40">
        <f t="shared" si="32"/>
        <v>0</v>
      </c>
      <c r="V69" s="40">
        <f t="shared" si="26"/>
        <v>138536625</v>
      </c>
      <c r="X69" s="85">
        <v>54224</v>
      </c>
      <c r="Y69" s="40">
        <v>37170000</v>
      </c>
      <c r="Z69" s="101">
        <v>0.05</v>
      </c>
      <c r="AA69" s="40">
        <v>74830000</v>
      </c>
      <c r="AB69" s="101">
        <v>0.04</v>
      </c>
      <c r="AC69" s="40">
        <f t="shared" si="27"/>
        <v>14152500</v>
      </c>
      <c r="AD69" s="40"/>
      <c r="AE69" s="40"/>
      <c r="AF69" s="40">
        <f t="shared" si="11"/>
        <v>126152500</v>
      </c>
      <c r="AH69" s="85">
        <v>54224</v>
      </c>
      <c r="AI69" s="40"/>
      <c r="AJ69" s="40"/>
      <c r="AK69" s="40"/>
      <c r="AL69" s="40"/>
      <c r="AM69" s="40"/>
      <c r="AN69" s="40">
        <f t="shared" si="33"/>
        <v>0</v>
      </c>
      <c r="AP69" s="85">
        <v>54224</v>
      </c>
      <c r="AQ69" s="40">
        <v>0</v>
      </c>
      <c r="AR69" s="101"/>
      <c r="AS69" s="40">
        <v>4750125</v>
      </c>
      <c r="AT69" s="40">
        <v>0</v>
      </c>
      <c r="AU69" s="40"/>
      <c r="AV69" s="40">
        <f t="shared" si="12"/>
        <v>4750125</v>
      </c>
      <c r="AX69" s="85">
        <v>54224</v>
      </c>
      <c r="AY69" s="40">
        <v>0</v>
      </c>
      <c r="BA69" s="40">
        <v>0</v>
      </c>
      <c r="BB69" s="40">
        <v>0</v>
      </c>
      <c r="BC69" s="40">
        <f t="shared" si="13"/>
        <v>0</v>
      </c>
      <c r="BE69" s="85">
        <v>54224</v>
      </c>
      <c r="BF69" s="40">
        <v>0</v>
      </c>
      <c r="BG69" s="40"/>
      <c r="BH69" s="40">
        <v>3425625</v>
      </c>
      <c r="BI69" s="40">
        <v>0</v>
      </c>
      <c r="BJ69" s="40">
        <f t="shared" si="14"/>
        <v>3425625</v>
      </c>
      <c r="BL69" s="85">
        <v>54224</v>
      </c>
      <c r="BM69" s="40">
        <v>0</v>
      </c>
      <c r="BN69" s="40"/>
      <c r="BO69" s="40">
        <v>448375</v>
      </c>
      <c r="BP69" s="40">
        <f t="shared" si="15"/>
        <v>448375</v>
      </c>
      <c r="BR69" s="85">
        <v>54224</v>
      </c>
      <c r="BV69" s="40">
        <f t="shared" si="16"/>
        <v>0</v>
      </c>
      <c r="BX69" s="85">
        <v>54224</v>
      </c>
      <c r="BY69" s="40">
        <v>0</v>
      </c>
      <c r="BZ69" s="87">
        <v>0</v>
      </c>
      <c r="CA69" s="40">
        <v>3760000</v>
      </c>
      <c r="CB69" s="40">
        <v>0</v>
      </c>
      <c r="CC69" s="40">
        <f t="shared" si="6"/>
        <v>3760000</v>
      </c>
      <c r="CD69" s="67"/>
      <c r="CE69" s="85">
        <v>54224</v>
      </c>
      <c r="CG69" s="87"/>
      <c r="CJ69" s="67"/>
      <c r="CK69" s="85">
        <v>54224</v>
      </c>
      <c r="CL69" s="40"/>
      <c r="CM69" s="123"/>
      <c r="CN69" s="40"/>
      <c r="CO69" s="40"/>
      <c r="CP69" s="40">
        <f t="shared" si="17"/>
        <v>0</v>
      </c>
      <c r="CQ69" s="67"/>
      <c r="CR69" s="85">
        <v>54224</v>
      </c>
      <c r="CS69" s="40"/>
      <c r="CT69" s="87"/>
      <c r="CU69" s="40"/>
      <c r="CV69" s="40">
        <f t="shared" si="18"/>
        <v>0</v>
      </c>
      <c r="CW69" s="67"/>
      <c r="CX69" s="85">
        <v>54224</v>
      </c>
      <c r="CY69" s="40"/>
      <c r="CZ69" s="87"/>
      <c r="DA69" s="40"/>
      <c r="DB69" s="40"/>
      <c r="DC69" s="40">
        <f t="shared" si="19"/>
        <v>0</v>
      </c>
      <c r="DD69" s="40"/>
      <c r="DE69" s="85">
        <v>54224</v>
      </c>
      <c r="DF69" s="40"/>
      <c r="DG69" s="87"/>
      <c r="DH69" s="40"/>
      <c r="DI69" s="40"/>
      <c r="DJ69" s="40">
        <f t="shared" si="8"/>
        <v>0</v>
      </c>
      <c r="DK69" s="40"/>
      <c r="DL69" s="85">
        <v>54224</v>
      </c>
      <c r="DQ69" s="67"/>
      <c r="DR69" s="85">
        <v>54224</v>
      </c>
      <c r="DV69" s="40">
        <f t="shared" si="20"/>
        <v>0</v>
      </c>
      <c r="DW69" s="67"/>
      <c r="DX69" s="85">
        <v>54224</v>
      </c>
      <c r="EB69" s="40">
        <f t="shared" si="21"/>
        <v>0</v>
      </c>
      <c r="EC69" s="67"/>
      <c r="ED69" s="85">
        <v>54224</v>
      </c>
      <c r="EI69" s="40">
        <f t="shared" si="22"/>
        <v>0</v>
      </c>
      <c r="EJ69" s="67"/>
      <c r="EK69" s="85">
        <v>54224</v>
      </c>
      <c r="EP69" s="40">
        <f t="shared" si="23"/>
        <v>0</v>
      </c>
      <c r="EQ69" s="67"/>
      <c r="ER69" s="85">
        <v>54224</v>
      </c>
      <c r="EW69" s="40">
        <f t="shared" si="24"/>
        <v>0</v>
      </c>
      <c r="EX69" s="67"/>
      <c r="EY69" s="85">
        <v>54224</v>
      </c>
      <c r="FD69" s="40">
        <f t="shared" si="25"/>
        <v>0</v>
      </c>
    </row>
    <row r="70" spans="6:160" x14ac:dyDescent="0.4">
      <c r="F70" s="85">
        <v>54423</v>
      </c>
      <c r="G70" s="85"/>
      <c r="H70" s="85">
        <v>54407</v>
      </c>
      <c r="I70" s="40"/>
      <c r="O70" s="85">
        <v>54423</v>
      </c>
      <c r="P70" s="85"/>
      <c r="Q70" s="85">
        <v>54407</v>
      </c>
      <c r="R70" s="40">
        <f t="shared" si="29"/>
        <v>180775000</v>
      </c>
      <c r="S70" s="40">
        <f t="shared" si="30"/>
        <v>24110775</v>
      </c>
      <c r="T70" s="40">
        <f t="shared" si="31"/>
        <v>0</v>
      </c>
      <c r="U70" s="40">
        <f t="shared" si="32"/>
        <v>0</v>
      </c>
      <c r="V70" s="40">
        <f t="shared" si="26"/>
        <v>204885775</v>
      </c>
      <c r="X70" s="85">
        <v>54407</v>
      </c>
      <c r="Y70" s="40">
        <v>59090000</v>
      </c>
      <c r="Z70" s="101">
        <v>0.05</v>
      </c>
      <c r="AA70" s="40">
        <v>117540000</v>
      </c>
      <c r="AB70" s="101">
        <v>0.04</v>
      </c>
      <c r="AC70" s="40">
        <f t="shared" si="27"/>
        <v>11726650</v>
      </c>
      <c r="AD70" s="40"/>
      <c r="AE70" s="40"/>
      <c r="AF70" s="40">
        <f t="shared" si="11"/>
        <v>188356650</v>
      </c>
      <c r="AH70" s="85">
        <v>54407</v>
      </c>
      <c r="AI70" s="40"/>
      <c r="AJ70" s="40"/>
      <c r="AK70" s="40"/>
      <c r="AL70" s="40"/>
      <c r="AM70" s="40"/>
      <c r="AN70" s="40">
        <f t="shared" si="33"/>
        <v>0</v>
      </c>
      <c r="AP70" s="85">
        <v>54407</v>
      </c>
      <c r="AQ70" s="40">
        <v>0</v>
      </c>
      <c r="AR70" s="101"/>
      <c r="AS70" s="40">
        <v>4750125</v>
      </c>
      <c r="AT70" s="40">
        <v>0</v>
      </c>
      <c r="AU70" s="40"/>
      <c r="AV70" s="40">
        <f t="shared" si="12"/>
        <v>4750125</v>
      </c>
      <c r="AX70" s="85">
        <v>54407</v>
      </c>
      <c r="AY70" s="40">
        <v>0</v>
      </c>
      <c r="BA70" s="40">
        <v>0</v>
      </c>
      <c r="BB70" s="40">
        <v>0</v>
      </c>
      <c r="BC70" s="40">
        <f t="shared" si="13"/>
        <v>0</v>
      </c>
      <c r="BE70" s="85">
        <v>54407</v>
      </c>
      <c r="BF70" s="40">
        <v>0</v>
      </c>
      <c r="BG70" s="40"/>
      <c r="BH70" s="40">
        <v>3425625</v>
      </c>
      <c r="BI70" s="40">
        <v>0</v>
      </c>
      <c r="BJ70" s="40">
        <f t="shared" si="14"/>
        <v>3425625</v>
      </c>
      <c r="BL70" s="85">
        <v>54407</v>
      </c>
      <c r="BM70" s="40">
        <v>4145000</v>
      </c>
      <c r="BN70" s="101">
        <v>0.05</v>
      </c>
      <c r="BO70" s="40">
        <v>448375</v>
      </c>
      <c r="BP70" s="40">
        <f t="shared" si="15"/>
        <v>4593375</v>
      </c>
      <c r="BR70" s="85">
        <v>54407</v>
      </c>
      <c r="BV70" s="40">
        <f t="shared" si="16"/>
        <v>0</v>
      </c>
      <c r="BX70" s="85">
        <v>54407</v>
      </c>
      <c r="BY70" s="40">
        <v>0</v>
      </c>
      <c r="BZ70" s="87">
        <v>0</v>
      </c>
      <c r="CA70" s="40">
        <v>3760000</v>
      </c>
      <c r="CB70" s="40">
        <v>0</v>
      </c>
      <c r="CC70" s="40">
        <f t="shared" si="6"/>
        <v>3760000</v>
      </c>
      <c r="CD70" s="67"/>
      <c r="CE70" s="85">
        <v>54407</v>
      </c>
      <c r="CG70" s="87"/>
      <c r="CJ70" s="67"/>
      <c r="CK70" s="85">
        <v>54407</v>
      </c>
      <c r="CL70" s="40"/>
      <c r="CM70" s="123"/>
      <c r="CN70" s="40"/>
      <c r="CO70" s="40"/>
      <c r="CP70" s="40">
        <f t="shared" si="17"/>
        <v>0</v>
      </c>
      <c r="CQ70" s="67"/>
      <c r="CR70" s="85">
        <v>54407</v>
      </c>
      <c r="CS70" s="40"/>
      <c r="CT70" s="87"/>
      <c r="CU70" s="40"/>
      <c r="CV70" s="40">
        <f t="shared" si="18"/>
        <v>0</v>
      </c>
      <c r="CW70" s="67"/>
      <c r="CX70" s="85">
        <v>54407</v>
      </c>
      <c r="CY70" s="40"/>
      <c r="CZ70" s="87"/>
      <c r="DA70" s="40"/>
      <c r="DB70" s="40"/>
      <c r="DC70" s="40">
        <f t="shared" si="19"/>
        <v>0</v>
      </c>
      <c r="DD70" s="40"/>
      <c r="DE70" s="85">
        <v>54407</v>
      </c>
      <c r="DF70" s="40"/>
      <c r="DG70" s="87"/>
      <c r="DH70" s="40"/>
      <c r="DI70" s="40"/>
      <c r="DJ70" s="40">
        <f t="shared" si="8"/>
        <v>0</v>
      </c>
      <c r="DK70" s="40"/>
      <c r="DL70" s="85">
        <v>54407</v>
      </c>
      <c r="DQ70" s="67"/>
      <c r="DR70" s="85">
        <v>54407</v>
      </c>
      <c r="DV70" s="40">
        <f t="shared" si="20"/>
        <v>0</v>
      </c>
      <c r="DW70" s="67"/>
      <c r="DX70" s="85">
        <v>54407</v>
      </c>
      <c r="EB70" s="40">
        <f t="shared" si="21"/>
        <v>0</v>
      </c>
      <c r="EC70" s="67"/>
      <c r="ED70" s="85">
        <v>54407</v>
      </c>
      <c r="EI70" s="40">
        <f t="shared" si="22"/>
        <v>0</v>
      </c>
      <c r="EJ70" s="67"/>
      <c r="EK70" s="85">
        <v>54407</v>
      </c>
      <c r="EP70" s="40">
        <f t="shared" si="23"/>
        <v>0</v>
      </c>
      <c r="EQ70" s="67"/>
      <c r="ER70" s="85">
        <v>54407</v>
      </c>
      <c r="EW70" s="40">
        <f t="shared" si="24"/>
        <v>0</v>
      </c>
      <c r="EX70" s="67"/>
      <c r="EY70" s="85">
        <v>54407</v>
      </c>
      <c r="EZ70" s="67"/>
      <c r="FA70" s="67"/>
      <c r="FB70" s="67"/>
      <c r="FC70" s="67"/>
      <c r="FD70" s="40">
        <f t="shared" si="25"/>
        <v>0</v>
      </c>
    </row>
    <row r="71" spans="6:160" x14ac:dyDescent="0.4">
      <c r="F71" s="85">
        <v>54604</v>
      </c>
      <c r="G71" s="85"/>
      <c r="H71" s="85">
        <v>54589</v>
      </c>
      <c r="I71" s="40">
        <f>SUM(Y70:Y71,AA70:AA71,AI70:AI71,AQ70:AQ71,AY70:AY71,BF70:BF71,BM70:BM71,BS70:BS71,BY70:BY71,CF70:CF71,CL70:CL71,CS70:CS71,CY70:CY71,DF70:DF71,DM70:DM71,DS70:DS71,DY70:DY71,EE70:EE71,EL70:EL71,ES70:ES71,EZ70:EZ71)</f>
        <v>294449595.30000001</v>
      </c>
      <c r="J71" s="40">
        <f>SUM(AC70:AC71,AK70:AK71,AS70:AS71,BA70:BA71,BH70:BH71,BO70:BO71,BU70:BU71,CA70:CA71,CH70:CH71,CN70:CN71,CU70:CU71,DA70:DA71,DH70:DH71,DO70:DO71,DU70:DU71,EA70:EA71,EG70:EG71,EN70:EN71,EU70:EU71,FB70:FB71)</f>
        <v>44289875</v>
      </c>
      <c r="K71" s="40">
        <f>SUM(AD70:AD71,AL70:AL71,AT70:AT71,BB70:BB71,BI70:BI71,CB70:CB71,CO70:CO71,DB70:DB71,DI70:DI71,EH70:EH71,EO70:EO71,EV70:EV71,FC70:FC71)</f>
        <v>4883964</v>
      </c>
      <c r="L71" s="40">
        <f>SUM(AE70:AE71,AM70:AM71,AU70:AU71)</f>
        <v>0</v>
      </c>
      <c r="M71" s="40">
        <f>SUM(I71:L71)</f>
        <v>343623434.30000001</v>
      </c>
      <c r="O71" s="85">
        <v>54604</v>
      </c>
      <c r="P71" s="85"/>
      <c r="Q71" s="85">
        <v>54589</v>
      </c>
      <c r="R71" s="40">
        <f t="shared" si="29"/>
        <v>113674595.3</v>
      </c>
      <c r="S71" s="40">
        <f t="shared" si="30"/>
        <v>20179100</v>
      </c>
      <c r="T71" s="40">
        <f t="shared" si="31"/>
        <v>4883964</v>
      </c>
      <c r="U71" s="40">
        <f t="shared" si="32"/>
        <v>0</v>
      </c>
      <c r="V71" s="40">
        <f t="shared" si="26"/>
        <v>138737659.30000001</v>
      </c>
      <c r="X71" s="85">
        <v>54589</v>
      </c>
      <c r="Y71" s="40">
        <v>37165000</v>
      </c>
      <c r="Z71" s="101">
        <v>0.05</v>
      </c>
      <c r="AA71" s="40">
        <v>75325000</v>
      </c>
      <c r="AB71" s="101">
        <v>0.04</v>
      </c>
      <c r="AC71" s="40">
        <f t="shared" si="27"/>
        <v>7898600</v>
      </c>
      <c r="AD71" s="40"/>
      <c r="AE71" s="40"/>
      <c r="AF71" s="40">
        <f t="shared" si="11"/>
        <v>120388600</v>
      </c>
      <c r="AH71" s="85">
        <v>54589</v>
      </c>
      <c r="AI71" s="40"/>
      <c r="AJ71" s="40"/>
      <c r="AK71" s="40"/>
      <c r="AL71" s="40"/>
      <c r="AM71" s="40"/>
      <c r="AN71" s="40">
        <f t="shared" si="33"/>
        <v>0</v>
      </c>
      <c r="AP71" s="85">
        <v>54589</v>
      </c>
      <c r="AQ71" s="40">
        <v>0</v>
      </c>
      <c r="AR71" s="101"/>
      <c r="AS71" s="40">
        <v>4750125</v>
      </c>
      <c r="AT71" s="40">
        <v>0</v>
      </c>
      <c r="AU71" s="40"/>
      <c r="AV71" s="40">
        <f t="shared" si="12"/>
        <v>4750125</v>
      </c>
      <c r="AX71" s="85">
        <v>54589</v>
      </c>
      <c r="AY71" s="40">
        <v>1184595.3</v>
      </c>
      <c r="AZ71" s="101">
        <v>5.2499999999999998E-2</v>
      </c>
      <c r="BA71" s="40">
        <v>0</v>
      </c>
      <c r="BB71" s="40">
        <v>4883964</v>
      </c>
      <c r="BC71" s="40">
        <f t="shared" si="13"/>
        <v>6068559.2999999998</v>
      </c>
      <c r="BE71" s="85">
        <v>54589</v>
      </c>
      <c r="BF71" s="40">
        <v>0</v>
      </c>
      <c r="BG71" s="40"/>
      <c r="BH71" s="40">
        <v>3425625</v>
      </c>
      <c r="BI71" s="40">
        <v>0</v>
      </c>
      <c r="BJ71" s="40">
        <f t="shared" si="14"/>
        <v>3425625</v>
      </c>
      <c r="BL71" s="85">
        <v>54589</v>
      </c>
      <c r="BM71" s="40">
        <v>0</v>
      </c>
      <c r="BN71" s="40"/>
      <c r="BO71" s="40">
        <v>344750</v>
      </c>
      <c r="BP71" s="40">
        <f t="shared" si="15"/>
        <v>344750</v>
      </c>
      <c r="BR71" s="85">
        <v>54589</v>
      </c>
      <c r="BV71" s="40">
        <f t="shared" si="16"/>
        <v>0</v>
      </c>
      <c r="BX71" s="85">
        <v>54589</v>
      </c>
      <c r="BY71" s="40">
        <v>0</v>
      </c>
      <c r="BZ71" s="87">
        <v>0</v>
      </c>
      <c r="CA71" s="40">
        <v>3760000</v>
      </c>
      <c r="CB71" s="40">
        <v>0</v>
      </c>
      <c r="CC71" s="40">
        <f t="shared" si="6"/>
        <v>3760000</v>
      </c>
      <c r="CD71" s="67"/>
      <c r="CE71" s="85">
        <v>54589</v>
      </c>
      <c r="CF71" s="67"/>
      <c r="CG71" s="94"/>
      <c r="CH71" s="67"/>
      <c r="CI71" s="67"/>
      <c r="CJ71" s="67"/>
      <c r="CK71" s="85">
        <v>54589</v>
      </c>
      <c r="CL71" s="40"/>
      <c r="CM71" s="123"/>
      <c r="CN71" s="40"/>
      <c r="CO71" s="40"/>
      <c r="CP71" s="40">
        <f t="shared" si="17"/>
        <v>0</v>
      </c>
      <c r="CQ71" s="67"/>
      <c r="CR71" s="85">
        <v>54589</v>
      </c>
      <c r="CS71" s="40"/>
      <c r="CT71" s="87"/>
      <c r="CU71" s="40"/>
      <c r="CV71" s="40">
        <f t="shared" si="18"/>
        <v>0</v>
      </c>
      <c r="CW71" s="67"/>
      <c r="CX71" s="85">
        <v>54589</v>
      </c>
      <c r="CY71" s="67"/>
      <c r="CZ71" s="87"/>
      <c r="DA71" s="67"/>
      <c r="DB71" s="67"/>
      <c r="DC71" s="40">
        <f t="shared" si="19"/>
        <v>0</v>
      </c>
      <c r="DD71" s="73"/>
      <c r="DE71" s="85">
        <v>54589</v>
      </c>
      <c r="DF71" s="67"/>
      <c r="DG71" s="87"/>
      <c r="DH71" s="67"/>
      <c r="DI71" s="67"/>
      <c r="DJ71" s="40">
        <f t="shared" si="8"/>
        <v>0</v>
      </c>
      <c r="DK71" s="73"/>
      <c r="DL71" s="85">
        <v>54589</v>
      </c>
      <c r="DM71" s="67"/>
      <c r="DN71" s="67"/>
      <c r="DO71" s="67"/>
      <c r="DP71" s="67"/>
      <c r="DQ71" s="67"/>
      <c r="DR71" s="85">
        <v>54589</v>
      </c>
      <c r="DS71" s="67"/>
      <c r="DT71" s="67"/>
      <c r="DU71" s="67"/>
      <c r="DV71" s="40">
        <f t="shared" si="20"/>
        <v>0</v>
      </c>
      <c r="DW71" s="67"/>
      <c r="DX71" s="85">
        <v>54589</v>
      </c>
      <c r="DY71" s="67"/>
      <c r="DZ71" s="67"/>
      <c r="EA71" s="67"/>
      <c r="EB71" s="40">
        <f t="shared" si="21"/>
        <v>0</v>
      </c>
      <c r="EC71" s="67"/>
      <c r="ED71" s="85">
        <v>54589</v>
      </c>
      <c r="EE71" s="67"/>
      <c r="EF71" s="67"/>
      <c r="EG71" s="67"/>
      <c r="EH71" s="67"/>
      <c r="EI71" s="40">
        <f t="shared" si="22"/>
        <v>0</v>
      </c>
      <c r="EJ71" s="67"/>
      <c r="EK71" s="85">
        <v>54589</v>
      </c>
      <c r="EL71" s="67"/>
      <c r="EM71" s="67"/>
      <c r="EN71" s="67"/>
      <c r="EO71" s="67"/>
      <c r="EP71" s="40">
        <f t="shared" si="23"/>
        <v>0</v>
      </c>
      <c r="EQ71" s="67"/>
      <c r="ER71" s="85">
        <v>54589</v>
      </c>
      <c r="ES71" s="67"/>
      <c r="ET71" s="67"/>
      <c r="EU71" s="67"/>
      <c r="EV71" s="67"/>
      <c r="EW71" s="40">
        <f t="shared" si="24"/>
        <v>0</v>
      </c>
      <c r="EX71" s="67"/>
      <c r="EY71" s="85">
        <v>54589</v>
      </c>
      <c r="EZ71" s="67"/>
      <c r="FA71" s="67"/>
      <c r="FB71" s="67"/>
      <c r="FC71" s="67"/>
      <c r="FD71" s="40">
        <f t="shared" si="25"/>
        <v>0</v>
      </c>
    </row>
    <row r="72" spans="6:160" x14ac:dyDescent="0.4">
      <c r="F72" s="85">
        <v>54788</v>
      </c>
      <c r="G72" s="85"/>
      <c r="H72" s="85">
        <v>54772</v>
      </c>
      <c r="I72" s="40"/>
      <c r="O72" s="85">
        <v>54788</v>
      </c>
      <c r="P72" s="85"/>
      <c r="Q72" s="85">
        <v>54772</v>
      </c>
      <c r="R72" s="40">
        <f t="shared" si="29"/>
        <v>143516263.55000001</v>
      </c>
      <c r="S72" s="40">
        <f t="shared" si="30"/>
        <v>17743475</v>
      </c>
      <c r="T72" s="40">
        <f t="shared" si="31"/>
        <v>43898910.299999997</v>
      </c>
      <c r="U72" s="40">
        <f t="shared" si="32"/>
        <v>0</v>
      </c>
      <c r="V72" s="40">
        <f t="shared" si="26"/>
        <v>205158648.85000002</v>
      </c>
      <c r="X72" s="85">
        <v>54772</v>
      </c>
      <c r="Y72" s="40">
        <v>47075000</v>
      </c>
      <c r="Z72" s="101">
        <v>0.05</v>
      </c>
      <c r="AA72" s="40">
        <v>81660000</v>
      </c>
      <c r="AB72" s="101">
        <v>0.04</v>
      </c>
      <c r="AC72" s="40">
        <f t="shared" si="27"/>
        <v>5462975</v>
      </c>
      <c r="AD72" s="40"/>
      <c r="AE72" s="40"/>
      <c r="AF72" s="40">
        <f t="shared" si="11"/>
        <v>134197975</v>
      </c>
      <c r="AH72" s="85">
        <v>54772</v>
      </c>
      <c r="AI72" s="40"/>
      <c r="AJ72" s="40"/>
      <c r="AK72" s="40"/>
      <c r="AL72" s="40"/>
      <c r="AM72" s="40"/>
      <c r="AN72" s="40">
        <f t="shared" si="33"/>
        <v>0</v>
      </c>
      <c r="AP72" s="85">
        <v>54772</v>
      </c>
      <c r="AQ72" s="40">
        <v>0</v>
      </c>
      <c r="AR72" s="101"/>
      <c r="AS72" s="40">
        <v>4750125</v>
      </c>
      <c r="AT72" s="40">
        <v>0</v>
      </c>
      <c r="AU72" s="40"/>
      <c r="AV72" s="40">
        <f t="shared" si="12"/>
        <v>4750125</v>
      </c>
      <c r="AX72" s="85">
        <v>54772</v>
      </c>
      <c r="AY72" s="40">
        <v>10311263.550000001</v>
      </c>
      <c r="AZ72" s="101">
        <v>5.2499999999999998E-2</v>
      </c>
      <c r="BA72" s="40">
        <v>0</v>
      </c>
      <c r="BB72" s="40">
        <v>43898910.299999997</v>
      </c>
      <c r="BC72" s="40">
        <f t="shared" si="13"/>
        <v>54210173.849999994</v>
      </c>
      <c r="BE72" s="85">
        <v>54772</v>
      </c>
      <c r="BF72" s="40">
        <v>0</v>
      </c>
      <c r="BG72" s="40"/>
      <c r="BH72" s="40">
        <v>3425625</v>
      </c>
      <c r="BI72" s="40">
        <v>0</v>
      </c>
      <c r="BJ72" s="40">
        <f t="shared" si="14"/>
        <v>3425625</v>
      </c>
      <c r="BL72" s="85">
        <v>54772</v>
      </c>
      <c r="BM72" s="40">
        <v>4470000</v>
      </c>
      <c r="BN72" s="101">
        <v>0.05</v>
      </c>
      <c r="BO72" s="40">
        <v>344750</v>
      </c>
      <c r="BP72" s="40">
        <f t="shared" si="15"/>
        <v>4814750</v>
      </c>
      <c r="BR72" s="85">
        <v>54772</v>
      </c>
      <c r="BV72" s="40">
        <f t="shared" si="16"/>
        <v>0</v>
      </c>
      <c r="BX72" s="85">
        <v>54772</v>
      </c>
      <c r="BY72" s="40">
        <v>0</v>
      </c>
      <c r="BZ72" s="87">
        <v>0</v>
      </c>
      <c r="CA72" s="40">
        <v>3760000</v>
      </c>
      <c r="CB72" s="40">
        <v>0</v>
      </c>
      <c r="CC72" s="40">
        <f t="shared" si="6"/>
        <v>3760000</v>
      </c>
      <c r="CE72" s="85">
        <v>54772</v>
      </c>
      <c r="CG72" s="87"/>
      <c r="CK72" s="85">
        <v>54772</v>
      </c>
      <c r="CL72" s="40"/>
      <c r="CM72" s="123"/>
      <c r="CN72" s="40"/>
      <c r="CO72" s="40"/>
      <c r="CP72" s="40">
        <f t="shared" si="17"/>
        <v>0</v>
      </c>
      <c r="CR72" s="85">
        <v>54772</v>
      </c>
      <c r="CS72" s="40"/>
      <c r="CT72" s="87"/>
      <c r="CU72" s="40"/>
      <c r="CV72" s="40">
        <f t="shared" si="18"/>
        <v>0</v>
      </c>
      <c r="CX72" s="85">
        <v>54772</v>
      </c>
      <c r="CZ72" s="87"/>
      <c r="DC72" s="40">
        <f t="shared" si="19"/>
        <v>0</v>
      </c>
      <c r="DE72" s="85">
        <v>54772</v>
      </c>
      <c r="DG72" s="87"/>
      <c r="DJ72" s="40">
        <f t="shared" si="8"/>
        <v>0</v>
      </c>
      <c r="DL72" s="85">
        <v>54772</v>
      </c>
      <c r="DM72" s="67"/>
      <c r="DN72" s="67"/>
      <c r="DO72" s="67"/>
      <c r="DP72" s="67"/>
      <c r="DR72" s="85">
        <v>54772</v>
      </c>
      <c r="DS72" s="67"/>
      <c r="DT72" s="67"/>
      <c r="DU72" s="67"/>
      <c r="DV72" s="40">
        <f t="shared" si="20"/>
        <v>0</v>
      </c>
      <c r="DX72" s="85">
        <v>54772</v>
      </c>
      <c r="DY72" s="67"/>
      <c r="DZ72" s="67"/>
      <c r="EA72" s="67"/>
      <c r="EB72" s="40">
        <f t="shared" si="21"/>
        <v>0</v>
      </c>
      <c r="ED72" s="85">
        <v>54772</v>
      </c>
      <c r="EE72" s="67"/>
      <c r="EF72" s="67"/>
      <c r="EG72" s="67"/>
      <c r="EH72" s="67"/>
      <c r="EI72" s="40">
        <f t="shared" si="22"/>
        <v>0</v>
      </c>
      <c r="EK72" s="85">
        <v>54772</v>
      </c>
      <c r="EL72" s="67"/>
      <c r="EM72" s="67"/>
      <c r="EN72" s="67"/>
      <c r="EO72" s="67"/>
      <c r="EP72" s="40">
        <f t="shared" si="23"/>
        <v>0</v>
      </c>
      <c r="ER72" s="85">
        <v>54772</v>
      </c>
      <c r="ES72" s="67"/>
      <c r="ET72" s="67"/>
      <c r="EU72" s="67"/>
      <c r="EV72" s="67"/>
      <c r="EW72" s="40">
        <f t="shared" si="24"/>
        <v>0</v>
      </c>
      <c r="EY72" s="85">
        <v>54772</v>
      </c>
      <c r="EZ72" s="67"/>
      <c r="FA72" s="67"/>
      <c r="FB72" s="67"/>
      <c r="FC72" s="67"/>
      <c r="FD72" s="40">
        <f t="shared" si="25"/>
        <v>0</v>
      </c>
    </row>
    <row r="73" spans="6:160" x14ac:dyDescent="0.4">
      <c r="F73" s="85">
        <v>54969</v>
      </c>
      <c r="G73" s="85"/>
      <c r="H73" s="85">
        <v>54954</v>
      </c>
      <c r="I73" s="40">
        <f>SUM(Y72:Y73,AA72:AA73,AI72:AI73,AQ72:AQ73,AY72:AY73,BF72:BF73,BM72:BM73,BS72:BS73,BY72:BY73,CF72:CF73,CL72:CL73,CS72:CS73,CY72:CY73,DF72:DF73,DM72:DM73,DS72:DS73,DY72:DY73,EE72:EE73,EL72:EL73,ES72:ES73,EZ72:EZ73)</f>
        <v>267161263.55000001</v>
      </c>
      <c r="J73" s="40">
        <f>SUM(AC72:AC73,AK72:AK73,AS72:AS73,BA72:BA73,BH72:BH73,BO72:BO73,BU72:BU73,CA72:CA73,CH72:CH73,CN72:CN73,CU72:CU73,DA72:DA73,DH72:DH73,DO72:DO73,DU72:DU73,EA72:EA73,EG72:EG73,EN72:EN73,EU72:EU73,FB72:FB73)</f>
        <v>32565125</v>
      </c>
      <c r="K73" s="40">
        <f>SUM(AD72:AD73,AL72:AL73,AT72:AT73,BB72:BB73,BI72:BI73,CB72:CB73,CO72:CO73,DB72:DB73,DI72:DI73,EH72:EH73,EO72:EO73,EV72:EV73,FC72:FC73)</f>
        <v>43898910.299999997</v>
      </c>
      <c r="L73" s="40">
        <f>SUM(AE72:AE73,AM72:AM73,AU72:AU73)</f>
        <v>0</v>
      </c>
      <c r="M73" s="40">
        <f>SUM(I73:L73)</f>
        <v>343625298.85000002</v>
      </c>
      <c r="O73" s="85">
        <v>54969</v>
      </c>
      <c r="P73" s="85"/>
      <c r="Q73" s="85">
        <v>54954</v>
      </c>
      <c r="R73" s="40">
        <f t="shared" si="29"/>
        <v>123645000</v>
      </c>
      <c r="S73" s="40">
        <f t="shared" si="30"/>
        <v>14821650</v>
      </c>
      <c r="T73" s="40">
        <f t="shared" si="31"/>
        <v>0</v>
      </c>
      <c r="U73" s="40">
        <f t="shared" si="32"/>
        <v>0</v>
      </c>
      <c r="V73" s="40">
        <f t="shared" si="26"/>
        <v>138466650</v>
      </c>
      <c r="X73" s="85">
        <v>54954</v>
      </c>
      <c r="Y73" s="40">
        <v>36000000</v>
      </c>
      <c r="Z73" s="101">
        <v>0.05</v>
      </c>
      <c r="AA73" s="40">
        <v>87645000</v>
      </c>
      <c r="AB73" s="101">
        <v>0.04</v>
      </c>
      <c r="AC73" s="40">
        <f>(Y73*Z73/2)+(AA73*AB73/2)+AC74</f>
        <v>2652900</v>
      </c>
      <c r="AD73" s="40"/>
      <c r="AE73" s="40"/>
      <c r="AF73" s="40">
        <f t="shared" si="11"/>
        <v>126297900</v>
      </c>
      <c r="AH73" s="85">
        <v>54954</v>
      </c>
      <c r="AI73" s="40"/>
      <c r="AJ73" s="40"/>
      <c r="AK73" s="40"/>
      <c r="AL73" s="40"/>
      <c r="AM73" s="40"/>
      <c r="AN73" s="40">
        <f t="shared" si="33"/>
        <v>0</v>
      </c>
      <c r="AP73" s="85">
        <v>54954</v>
      </c>
      <c r="AQ73" s="40">
        <v>0</v>
      </c>
      <c r="AR73" s="101"/>
      <c r="AS73" s="40">
        <v>4750125</v>
      </c>
      <c r="AT73" s="40">
        <v>0</v>
      </c>
      <c r="AU73" s="40"/>
      <c r="AV73" s="40">
        <f t="shared" si="12"/>
        <v>4750125</v>
      </c>
      <c r="AX73" s="85">
        <v>54954</v>
      </c>
      <c r="AY73" s="40">
        <v>0</v>
      </c>
      <c r="BA73" s="40">
        <v>0</v>
      </c>
      <c r="BB73" s="40">
        <v>0</v>
      </c>
      <c r="BC73" s="40">
        <f t="shared" si="13"/>
        <v>0</v>
      </c>
      <c r="BE73" s="85">
        <v>54954</v>
      </c>
      <c r="BF73" s="40">
        <v>0</v>
      </c>
      <c r="BG73" s="40"/>
      <c r="BH73" s="40">
        <v>3425625</v>
      </c>
      <c r="BI73" s="40">
        <v>0</v>
      </c>
      <c r="BJ73" s="40">
        <f t="shared" si="14"/>
        <v>3425625</v>
      </c>
      <c r="BL73" s="85">
        <v>54954</v>
      </c>
      <c r="BM73" s="40">
        <v>0</v>
      </c>
      <c r="BN73" s="40"/>
      <c r="BO73" s="40">
        <v>233000</v>
      </c>
      <c r="BP73" s="40">
        <f t="shared" si="15"/>
        <v>233000</v>
      </c>
      <c r="BR73" s="85">
        <v>54954</v>
      </c>
      <c r="BV73" s="40">
        <f t="shared" si="16"/>
        <v>0</v>
      </c>
      <c r="BX73" s="85">
        <v>54954</v>
      </c>
      <c r="BY73" s="40">
        <v>0</v>
      </c>
      <c r="BZ73" s="87">
        <v>0</v>
      </c>
      <c r="CA73" s="40">
        <v>3760000</v>
      </c>
      <c r="CB73" s="40">
        <v>0</v>
      </c>
      <c r="CC73" s="40">
        <f t="shared" ref="CC73:CC93" si="34">SUM(BY73,CA73,CB73)</f>
        <v>3760000</v>
      </c>
      <c r="CE73" s="85">
        <v>54954</v>
      </c>
      <c r="CG73" s="87"/>
      <c r="CK73" s="85">
        <v>54954</v>
      </c>
      <c r="CL73" s="40"/>
      <c r="CM73" s="123"/>
      <c r="CN73" s="40"/>
      <c r="CO73" s="40"/>
      <c r="CP73" s="40">
        <f t="shared" si="17"/>
        <v>0</v>
      </c>
      <c r="CR73" s="85">
        <v>54954</v>
      </c>
      <c r="CS73" s="40"/>
      <c r="CT73" s="87"/>
      <c r="CU73" s="40"/>
      <c r="CV73" s="40">
        <f t="shared" si="18"/>
        <v>0</v>
      </c>
      <c r="CX73" s="85">
        <v>54954</v>
      </c>
      <c r="CZ73" s="87"/>
      <c r="DC73" s="40">
        <f t="shared" si="19"/>
        <v>0</v>
      </c>
      <c r="DE73" s="85">
        <v>54954</v>
      </c>
      <c r="DG73" s="87"/>
      <c r="DJ73" s="40">
        <f t="shared" ref="DJ73:DJ93" si="35">SUM(DF73,DH73,DI73)</f>
        <v>0</v>
      </c>
      <c r="DL73" s="85">
        <v>54954</v>
      </c>
      <c r="DR73" s="85">
        <v>54954</v>
      </c>
      <c r="DV73" s="40">
        <f t="shared" si="20"/>
        <v>0</v>
      </c>
      <c r="DX73" s="85">
        <v>54954</v>
      </c>
      <c r="EB73" s="40">
        <f t="shared" si="21"/>
        <v>0</v>
      </c>
      <c r="ED73" s="85">
        <v>54954</v>
      </c>
      <c r="EI73" s="40">
        <f t="shared" si="22"/>
        <v>0</v>
      </c>
      <c r="EK73" s="85">
        <v>54954</v>
      </c>
      <c r="EP73" s="40">
        <f t="shared" si="23"/>
        <v>0</v>
      </c>
      <c r="ER73" s="85">
        <v>54954</v>
      </c>
      <c r="ES73" s="67"/>
      <c r="ET73" s="67"/>
      <c r="EU73" s="67"/>
      <c r="EV73" s="67"/>
      <c r="EW73" s="40">
        <f t="shared" si="24"/>
        <v>0</v>
      </c>
      <c r="EY73" s="85">
        <v>54954</v>
      </c>
      <c r="EZ73" s="67"/>
      <c r="FA73" s="67"/>
      <c r="FB73" s="67"/>
      <c r="FC73" s="67"/>
      <c r="FD73" s="40">
        <f t="shared" si="25"/>
        <v>0</v>
      </c>
    </row>
    <row r="74" spans="6:160" x14ac:dyDescent="0.4">
      <c r="F74" s="85">
        <v>55153</v>
      </c>
      <c r="G74" s="85"/>
      <c r="H74" s="85">
        <v>55137</v>
      </c>
      <c r="I74" s="40"/>
      <c r="O74" s="85">
        <v>55153</v>
      </c>
      <c r="P74" s="85"/>
      <c r="Q74" s="85">
        <v>55137</v>
      </c>
      <c r="R74" s="40">
        <f t="shared" si="29"/>
        <v>25645714.300000001</v>
      </c>
      <c r="S74" s="40">
        <f t="shared" si="30"/>
        <v>12168750</v>
      </c>
      <c r="T74" s="40">
        <f t="shared" si="31"/>
        <v>170938578.30000001</v>
      </c>
      <c r="U74" s="40">
        <f t="shared" si="32"/>
        <v>0</v>
      </c>
      <c r="V74" s="40">
        <f t="shared" si="26"/>
        <v>208753042.60000002</v>
      </c>
      <c r="X74" s="85">
        <v>55137</v>
      </c>
      <c r="Y74" s="40"/>
      <c r="Z74" s="101"/>
      <c r="AA74" s="40"/>
      <c r="AB74" s="101"/>
      <c r="AC74" s="40">
        <f t="shared" ref="AC74:AC93" si="36">(Y74*Z74/2)+(AA74*AB74/2)+AC75</f>
        <v>0</v>
      </c>
      <c r="AD74" s="40"/>
      <c r="AE74" s="40"/>
      <c r="AF74" s="40">
        <f t="shared" si="11"/>
        <v>0</v>
      </c>
      <c r="AH74" s="85">
        <v>55137</v>
      </c>
      <c r="AI74" s="40"/>
      <c r="AJ74" s="40"/>
      <c r="AK74" s="40"/>
      <c r="AL74" s="40"/>
      <c r="AM74" s="40"/>
      <c r="AN74" s="40">
        <f t="shared" si="33"/>
        <v>0</v>
      </c>
      <c r="AP74" s="85">
        <v>55137</v>
      </c>
      <c r="AQ74" s="40">
        <v>0</v>
      </c>
      <c r="AR74" s="101"/>
      <c r="AS74" s="40">
        <v>4750125</v>
      </c>
      <c r="AT74" s="40">
        <v>0</v>
      </c>
      <c r="AU74" s="40"/>
      <c r="AV74" s="40">
        <f t="shared" si="12"/>
        <v>4750125</v>
      </c>
      <c r="AX74" s="85">
        <v>55137</v>
      </c>
      <c r="AY74" s="40">
        <v>612114.30000000005</v>
      </c>
      <c r="AZ74" s="101">
        <v>5.2499999999999998E-2</v>
      </c>
      <c r="BA74" s="40">
        <v>0</v>
      </c>
      <c r="BB74" s="40">
        <v>2777178.3</v>
      </c>
      <c r="BC74" s="40">
        <f t="shared" si="13"/>
        <v>3389292.5999999996</v>
      </c>
      <c r="BE74" s="85">
        <v>55137</v>
      </c>
      <c r="BF74" s="40">
        <v>0</v>
      </c>
      <c r="BG74" s="40"/>
      <c r="BH74" s="40">
        <v>3425625</v>
      </c>
      <c r="BI74" s="40">
        <v>0</v>
      </c>
      <c r="BJ74" s="40">
        <f t="shared" si="14"/>
        <v>3425625</v>
      </c>
      <c r="BL74" s="85">
        <v>55137</v>
      </c>
      <c r="BM74" s="40">
        <v>3195000</v>
      </c>
      <c r="BN74" s="101">
        <v>0.05</v>
      </c>
      <c r="BO74" s="40">
        <v>233000</v>
      </c>
      <c r="BP74" s="40">
        <f t="shared" si="15"/>
        <v>3428000</v>
      </c>
      <c r="BR74" s="85">
        <v>55137</v>
      </c>
      <c r="BV74" s="40">
        <f t="shared" si="16"/>
        <v>0</v>
      </c>
      <c r="BX74" s="85">
        <v>55137</v>
      </c>
      <c r="BY74" s="40">
        <v>21838600</v>
      </c>
      <c r="BZ74" s="87">
        <v>5.7099999999999998E-2</v>
      </c>
      <c r="CA74" s="40">
        <v>3760000</v>
      </c>
      <c r="CB74" s="40">
        <v>168161400</v>
      </c>
      <c r="CC74" s="40">
        <f t="shared" si="34"/>
        <v>193760000</v>
      </c>
      <c r="CE74" s="85">
        <v>55137</v>
      </c>
      <c r="CK74" s="85">
        <v>55137</v>
      </c>
      <c r="CL74" s="40"/>
      <c r="CM74" s="40"/>
      <c r="CP74" s="40">
        <f t="shared" si="17"/>
        <v>0</v>
      </c>
      <c r="CR74" s="85">
        <v>55137</v>
      </c>
      <c r="CV74" s="40">
        <f t="shared" si="18"/>
        <v>0</v>
      </c>
      <c r="CX74" s="85">
        <v>55137</v>
      </c>
      <c r="DC74" s="40">
        <f t="shared" si="19"/>
        <v>0</v>
      </c>
      <c r="DE74" s="85">
        <v>55137</v>
      </c>
      <c r="DJ74" s="40">
        <f t="shared" si="35"/>
        <v>0</v>
      </c>
      <c r="DL74" s="85">
        <v>55137</v>
      </c>
      <c r="DR74" s="85">
        <v>55137</v>
      </c>
      <c r="DV74" s="40">
        <f t="shared" si="20"/>
        <v>0</v>
      </c>
      <c r="DX74" s="85">
        <v>55137</v>
      </c>
      <c r="EB74" s="40">
        <f t="shared" si="21"/>
        <v>0</v>
      </c>
      <c r="ED74" s="85">
        <v>55137</v>
      </c>
      <c r="EI74" s="40">
        <f t="shared" si="22"/>
        <v>0</v>
      </c>
      <c r="EK74" s="85">
        <v>55137</v>
      </c>
      <c r="EP74" s="40">
        <f t="shared" si="23"/>
        <v>0</v>
      </c>
      <c r="ER74" s="85">
        <v>55137</v>
      </c>
      <c r="EW74" s="40">
        <f t="shared" si="24"/>
        <v>0</v>
      </c>
      <c r="EY74" s="85">
        <v>55137</v>
      </c>
      <c r="EZ74" s="67"/>
      <c r="FA74" s="67"/>
      <c r="FB74" s="67"/>
      <c r="FC74" s="67"/>
      <c r="FD74" s="40">
        <f t="shared" si="25"/>
        <v>0</v>
      </c>
    </row>
    <row r="75" spans="6:160" x14ac:dyDescent="0.4">
      <c r="F75" s="85">
        <v>55334</v>
      </c>
      <c r="G75" s="85"/>
      <c r="H75" s="85">
        <v>55319</v>
      </c>
      <c r="I75" s="40">
        <f>SUM(Y74:Y75,AA74:AA75,AI74:AI75,AQ74:AQ75,AY74:AY75,BF74:BF75,BM74:BM75,BS74:BS75,BY74:BY75,CF74:CF75,CL74:CL75,CS74:CS75,CY74:CY75,DF74:DF75,DM74:DM75,DS74:DS75,DY74:DY75,EE74:EE75,EL74:EL75,ES74:ES75,EZ74:EZ75)</f>
        <v>40863853.649999999</v>
      </c>
      <c r="J75" s="40">
        <f>SUM(AC74:AC75,AK74:AK75,AS74:AS75,BA74:BA75,BH74:BH75,BO74:BO75,BU74:BU75,CA74:CA75,CH74:CH75,CN74:CN75,CU74:CU75,DA74:DA75,DH74:DH75,DO74:DO75,DU74:DU75,EA74:EA75,EG74:EG75,EN74:EN75,EU74:EU75,FB74:FB75)</f>
        <v>24257625</v>
      </c>
      <c r="K75" s="40">
        <f>SUM(AD74:AD75,AL74:AL75,AT74:AT75,BB74:BB75,BI74:BI75,CB74:CB75,CO74:CO75,DB74:DB75,DI74:DI75,EH74:EH75,EO74:EO75,EV74:EV75,FC74:FC75)</f>
        <v>282121667.85000002</v>
      </c>
      <c r="L75" s="40">
        <f>SUM(AE74:AE75,AM74:AM75,AU74:AU75)</f>
        <v>0</v>
      </c>
      <c r="M75" s="40">
        <f>SUM(I75:L75)</f>
        <v>347243146.5</v>
      </c>
      <c r="O75" s="85">
        <v>55334</v>
      </c>
      <c r="P75" s="85"/>
      <c r="Q75" s="85">
        <v>55319</v>
      </c>
      <c r="R75" s="40">
        <f t="shared" si="29"/>
        <v>15218139.35</v>
      </c>
      <c r="S75" s="40">
        <f t="shared" si="30"/>
        <v>12088875</v>
      </c>
      <c r="T75" s="40">
        <f t="shared" si="31"/>
        <v>111183089.55</v>
      </c>
      <c r="U75" s="40">
        <f t="shared" si="32"/>
        <v>0</v>
      </c>
      <c r="V75" s="40">
        <f t="shared" si="26"/>
        <v>138490103.90000001</v>
      </c>
      <c r="X75" s="85">
        <v>55319</v>
      </c>
      <c r="Y75" s="40"/>
      <c r="Z75" s="101"/>
      <c r="AA75" s="40"/>
      <c r="AB75" s="101"/>
      <c r="AC75" s="40">
        <f t="shared" si="36"/>
        <v>0</v>
      </c>
      <c r="AD75" s="40"/>
      <c r="AE75" s="40"/>
      <c r="AF75" s="40">
        <f t="shared" si="11"/>
        <v>0</v>
      </c>
      <c r="AH75" s="85">
        <v>55319</v>
      </c>
      <c r="AI75" s="40"/>
      <c r="AJ75" s="40"/>
      <c r="AK75" s="40"/>
      <c r="AL75" s="40"/>
      <c r="AM75" s="40"/>
      <c r="AN75" s="40">
        <f t="shared" si="33"/>
        <v>0</v>
      </c>
      <c r="AP75" s="85">
        <v>55319</v>
      </c>
      <c r="AQ75" s="40">
        <v>0</v>
      </c>
      <c r="AR75" s="101"/>
      <c r="AS75" s="40">
        <v>4750125</v>
      </c>
      <c r="AT75" s="40">
        <v>0</v>
      </c>
      <c r="AU75" s="40"/>
      <c r="AV75" s="40">
        <f t="shared" si="12"/>
        <v>4750125</v>
      </c>
      <c r="AX75" s="85">
        <v>55319</v>
      </c>
      <c r="AY75" s="40">
        <v>0</v>
      </c>
      <c r="BA75" s="40">
        <v>0</v>
      </c>
      <c r="BB75" s="40">
        <v>0</v>
      </c>
      <c r="BC75" s="40">
        <f t="shared" si="13"/>
        <v>0</v>
      </c>
      <c r="BE75" s="85">
        <v>55319</v>
      </c>
      <c r="BF75" s="40">
        <v>0</v>
      </c>
      <c r="BG75" s="40"/>
      <c r="BH75" s="40">
        <v>3425625</v>
      </c>
      <c r="BI75" s="40">
        <v>0</v>
      </c>
      <c r="BJ75" s="40">
        <f t="shared" si="14"/>
        <v>3425625</v>
      </c>
      <c r="BL75" s="85">
        <v>55319</v>
      </c>
      <c r="BM75" s="40">
        <v>1350000</v>
      </c>
      <c r="BN75" s="101">
        <v>0.05</v>
      </c>
      <c r="BO75" s="40">
        <v>153125</v>
      </c>
      <c r="BP75" s="40">
        <f t="shared" si="15"/>
        <v>1503125</v>
      </c>
      <c r="BR75" s="85">
        <v>55319</v>
      </c>
      <c r="BV75" s="40">
        <f t="shared" si="16"/>
        <v>0</v>
      </c>
      <c r="BX75" s="85">
        <v>55319</v>
      </c>
      <c r="BY75" s="40">
        <v>13868139.35</v>
      </c>
      <c r="BZ75" s="87">
        <v>5.7299999999999997E-2</v>
      </c>
      <c r="CA75" s="40">
        <v>3760000</v>
      </c>
      <c r="CB75" s="40">
        <v>111183089.55</v>
      </c>
      <c r="CC75" s="40">
        <f t="shared" si="34"/>
        <v>128811228.90000001</v>
      </c>
      <c r="CE75" s="85">
        <v>55319</v>
      </c>
      <c r="CK75" s="85">
        <v>55319</v>
      </c>
      <c r="CL75" s="40"/>
      <c r="CM75" s="40"/>
      <c r="CP75" s="40">
        <f t="shared" si="17"/>
        <v>0</v>
      </c>
      <c r="CR75" s="85">
        <v>55319</v>
      </c>
      <c r="CV75" s="40">
        <f t="shared" si="18"/>
        <v>0</v>
      </c>
      <c r="CX75" s="85">
        <v>55319</v>
      </c>
      <c r="DC75" s="40">
        <f t="shared" si="19"/>
        <v>0</v>
      </c>
      <c r="DE75" s="85">
        <v>55319</v>
      </c>
      <c r="DJ75" s="40">
        <f t="shared" si="35"/>
        <v>0</v>
      </c>
      <c r="DL75" s="85">
        <v>55319</v>
      </c>
      <c r="DR75" s="85">
        <v>55319</v>
      </c>
      <c r="DV75" s="40">
        <f t="shared" si="20"/>
        <v>0</v>
      </c>
      <c r="DX75" s="85">
        <v>55319</v>
      </c>
      <c r="EB75" s="40">
        <f t="shared" si="21"/>
        <v>0</v>
      </c>
      <c r="ED75" s="85">
        <v>55319</v>
      </c>
      <c r="EI75" s="40">
        <f t="shared" si="22"/>
        <v>0</v>
      </c>
      <c r="EK75" s="85">
        <v>55319</v>
      </c>
      <c r="EP75" s="40">
        <f t="shared" si="23"/>
        <v>0</v>
      </c>
      <c r="ER75" s="85">
        <v>55319</v>
      </c>
      <c r="EW75" s="40">
        <f t="shared" si="24"/>
        <v>0</v>
      </c>
      <c r="EY75" s="85">
        <v>55319</v>
      </c>
      <c r="FD75" s="40">
        <f t="shared" si="25"/>
        <v>0</v>
      </c>
    </row>
    <row r="76" spans="6:160" x14ac:dyDescent="0.4">
      <c r="F76" s="85">
        <v>55518</v>
      </c>
      <c r="G76" s="85"/>
      <c r="H76" s="85">
        <v>55502</v>
      </c>
      <c r="I76" s="40"/>
      <c r="O76" s="85">
        <v>55518</v>
      </c>
      <c r="P76" s="85"/>
      <c r="Q76" s="85">
        <v>55502</v>
      </c>
      <c r="R76" s="40">
        <f t="shared" ref="R76:R93" si="37">SUM(Y76,AA76,AI76,AQ76,AY76,BF76,BM76,BS76,BY76,CF76,CL76,CS76,CY76,DF76,DM76,DS76,DY76,EE76,EL76,ES76,EZ76)</f>
        <v>46433118.25</v>
      </c>
      <c r="S76" s="40">
        <f t="shared" ref="S76:S93" si="38">SUM(AC76,AK76,AS76,BA76,BH76,BO76,BU76,CA76,CH76,CN76,CU76,DA76,DH76,DO76,DU76,EA76,EG76,EN76,EU76,FB76)</f>
        <v>12055125</v>
      </c>
      <c r="T76" s="40">
        <f t="shared" ref="T76:T93" si="39">SUM(AD76,AL76,AT76,BB76,BI76,CB76,CO76,DB76,DI76,EH76,EO76,EV76,FC76)</f>
        <v>150258121.25</v>
      </c>
      <c r="U76" s="40">
        <f t="shared" ref="U76:U93" si="40">SUM(AE76,AM76,AU76)</f>
        <v>0</v>
      </c>
      <c r="V76" s="40">
        <f t="shared" si="26"/>
        <v>208746364.5</v>
      </c>
      <c r="X76" s="85">
        <v>55502</v>
      </c>
      <c r="Y76" s="40"/>
      <c r="Z76" s="101"/>
      <c r="AA76" s="40"/>
      <c r="AB76" s="101"/>
      <c r="AC76" s="40">
        <f t="shared" si="36"/>
        <v>0</v>
      </c>
      <c r="AD76" s="40"/>
      <c r="AE76" s="40"/>
      <c r="AF76" s="40">
        <f t="shared" si="11"/>
        <v>0</v>
      </c>
      <c r="AH76" s="85">
        <v>55502</v>
      </c>
      <c r="AI76" s="40"/>
      <c r="AJ76" s="40"/>
      <c r="AK76" s="40"/>
      <c r="AL76" s="40"/>
      <c r="AM76" s="40"/>
      <c r="AN76" s="40">
        <f t="shared" ref="AN76:AN107" si="41">SUM(AI76,AK76,AL76,AM76)</f>
        <v>0</v>
      </c>
      <c r="AP76" s="85">
        <v>55502</v>
      </c>
      <c r="AQ76" s="40">
        <v>0</v>
      </c>
      <c r="AR76" s="101"/>
      <c r="AS76" s="40">
        <v>4750125</v>
      </c>
      <c r="AT76" s="40">
        <v>0</v>
      </c>
      <c r="AU76" s="40"/>
      <c r="AV76" s="40">
        <f t="shared" si="12"/>
        <v>4750125</v>
      </c>
      <c r="AX76" s="85">
        <v>55502</v>
      </c>
      <c r="AY76" s="40">
        <v>579820.5</v>
      </c>
      <c r="AZ76" s="101">
        <v>5.2499999999999998E-2</v>
      </c>
      <c r="BA76" s="40">
        <v>0</v>
      </c>
      <c r="BB76" s="40">
        <v>2801419</v>
      </c>
      <c r="BC76" s="40">
        <f t="shared" si="13"/>
        <v>3381239.5</v>
      </c>
      <c r="BE76" s="85">
        <v>55502</v>
      </c>
      <c r="BF76" s="40">
        <v>0</v>
      </c>
      <c r="BG76" s="40"/>
      <c r="BH76" s="40">
        <v>3425625</v>
      </c>
      <c r="BI76" s="40">
        <v>0</v>
      </c>
      <c r="BJ76" s="40">
        <f t="shared" si="14"/>
        <v>3425625</v>
      </c>
      <c r="BL76" s="85">
        <v>55502</v>
      </c>
      <c r="BM76" s="40">
        <v>3035000</v>
      </c>
      <c r="BN76" s="101">
        <v>0.05</v>
      </c>
      <c r="BO76" s="40">
        <v>119375</v>
      </c>
      <c r="BP76" s="40">
        <f t="shared" si="15"/>
        <v>3154375</v>
      </c>
      <c r="BR76" s="85">
        <v>55502</v>
      </c>
      <c r="BV76" s="40">
        <f t="shared" si="16"/>
        <v>0</v>
      </c>
      <c r="BX76" s="85">
        <v>55502</v>
      </c>
      <c r="BY76" s="40">
        <v>42818297.75</v>
      </c>
      <c r="BZ76" s="123" t="s">
        <v>102</v>
      </c>
      <c r="CA76" s="40">
        <v>3760000</v>
      </c>
      <c r="CB76" s="40">
        <v>147456702.25</v>
      </c>
      <c r="CC76" s="40">
        <f t="shared" si="34"/>
        <v>194035000</v>
      </c>
      <c r="CE76" s="85">
        <v>55502</v>
      </c>
      <c r="CK76" s="85">
        <v>55502</v>
      </c>
      <c r="CL76" s="40"/>
      <c r="CM76" s="40"/>
      <c r="CP76" s="40">
        <f t="shared" si="17"/>
        <v>0</v>
      </c>
      <c r="CR76" s="85">
        <v>55502</v>
      </c>
      <c r="CV76" s="40">
        <f t="shared" si="18"/>
        <v>0</v>
      </c>
      <c r="CX76" s="85">
        <v>55502</v>
      </c>
      <c r="DC76" s="40">
        <f t="shared" si="19"/>
        <v>0</v>
      </c>
      <c r="DE76" s="85">
        <v>55502</v>
      </c>
      <c r="DJ76" s="40">
        <f t="shared" si="35"/>
        <v>0</v>
      </c>
      <c r="DL76" s="85">
        <v>55502</v>
      </c>
      <c r="DR76" s="85">
        <v>55502</v>
      </c>
      <c r="DV76" s="40">
        <f t="shared" si="20"/>
        <v>0</v>
      </c>
      <c r="DX76" s="85">
        <v>55502</v>
      </c>
      <c r="EB76" s="40">
        <f t="shared" si="21"/>
        <v>0</v>
      </c>
      <c r="ED76" s="85">
        <v>55502</v>
      </c>
      <c r="EI76" s="40">
        <f t="shared" si="22"/>
        <v>0</v>
      </c>
      <c r="EK76" s="85">
        <v>55502</v>
      </c>
      <c r="EP76" s="40">
        <f t="shared" si="23"/>
        <v>0</v>
      </c>
      <c r="ER76" s="85">
        <v>55502</v>
      </c>
      <c r="EW76" s="40">
        <f t="shared" si="24"/>
        <v>0</v>
      </c>
      <c r="EY76" s="85">
        <v>55502</v>
      </c>
      <c r="FD76" s="40">
        <f t="shared" si="25"/>
        <v>0</v>
      </c>
    </row>
    <row r="77" spans="6:160" x14ac:dyDescent="0.4">
      <c r="F77" s="85">
        <v>55700</v>
      </c>
      <c r="G77" s="85"/>
      <c r="H77" s="85">
        <v>55685</v>
      </c>
      <c r="I77" s="40">
        <f>SUM(Y76:Y77,AA76:AA77,AI76:AI77,AQ76:AQ77,AY76:AY77,BF76:BF77,BM76:BM77,BS76:BS77,BY76:BY77,CF76:CF77,CL76:CL77,CS76:CS77,CY76:CY77,DF76:DF77,DM76:DM77,DS76:DS77,DY76:DY77,EE76:EE77,EL76:EL77,ES76:ES77,EZ76:EZ77)</f>
        <v>173573118.25</v>
      </c>
      <c r="J77" s="40">
        <f>SUM(AC76:AC77,AK76:AK77,AS76:AS77,BA76:BA77,BH76:BH77,BO76:BO77,BU76:BU77,CA76:CA77,CH76:CH77,CN76:CN77,CU76:CU77,DA76:DA77,DH76:DH77,DO76:DO77,DU76:DU77,EA76:EA77,EG76:EG77,EN76:EN77,EU76:EU77,FB76:FB77)</f>
        <v>23409375</v>
      </c>
      <c r="K77" s="40">
        <f>SUM(AD76:AD77,AL76:AL77,AT76:AT77,BB76:BB77,BI76:BI77,CB76:CB77,CO76:CO77,DB76:DB77,DI76:DI77,EH76:EH77,EO76:EO77,EV76:EV77,FC76:FC77)</f>
        <v>150258121.25</v>
      </c>
      <c r="L77" s="40">
        <f>SUM(AE76:AE77,AM76:AM77,AU76:AU77)</f>
        <v>0</v>
      </c>
      <c r="M77" s="40">
        <f>SUM(I77:L77)</f>
        <v>347240614.5</v>
      </c>
      <c r="O77" s="85">
        <v>55700</v>
      </c>
      <c r="P77" s="85"/>
      <c r="Q77" s="85">
        <v>55685</v>
      </c>
      <c r="R77" s="40">
        <f t="shared" si="37"/>
        <v>127140000</v>
      </c>
      <c r="S77" s="40">
        <f t="shared" si="38"/>
        <v>11354250</v>
      </c>
      <c r="T77" s="40">
        <f t="shared" si="39"/>
        <v>0</v>
      </c>
      <c r="U77" s="40">
        <f t="shared" si="40"/>
        <v>0</v>
      </c>
      <c r="V77" s="40">
        <f t="shared" si="26"/>
        <v>138494250</v>
      </c>
      <c r="X77" s="85">
        <v>55685</v>
      </c>
      <c r="Y77" s="40"/>
      <c r="Z77" s="101"/>
      <c r="AA77" s="40"/>
      <c r="AB77" s="101"/>
      <c r="AC77" s="40">
        <f t="shared" si="36"/>
        <v>0</v>
      </c>
      <c r="AD77" s="40"/>
      <c r="AE77" s="40"/>
      <c r="AF77" s="40">
        <f t="shared" ref="AF77:AF93" si="42">SUM(Y77,AA77,AC77,AD77,AE77)</f>
        <v>0</v>
      </c>
      <c r="AH77" s="85">
        <v>55685</v>
      </c>
      <c r="AI77" s="40"/>
      <c r="AJ77" s="40"/>
      <c r="AK77" s="40"/>
      <c r="AL77" s="40"/>
      <c r="AM77" s="40"/>
      <c r="AN77" s="40">
        <f t="shared" si="41"/>
        <v>0</v>
      </c>
      <c r="AP77" s="85">
        <v>55685</v>
      </c>
      <c r="AQ77" s="40">
        <v>0</v>
      </c>
      <c r="AR77" s="101"/>
      <c r="AS77" s="40">
        <v>4750125</v>
      </c>
      <c r="AT77" s="40">
        <v>0</v>
      </c>
      <c r="AU77" s="40"/>
      <c r="AV77" s="40">
        <f t="shared" ref="AV77:AV93" si="43">SUM(AQ77,AS77,AT77,AU77)</f>
        <v>4750125</v>
      </c>
      <c r="AX77" s="85">
        <v>55685</v>
      </c>
      <c r="AY77" s="40">
        <v>0</v>
      </c>
      <c r="BA77" s="40">
        <v>0</v>
      </c>
      <c r="BB77" s="40">
        <v>0</v>
      </c>
      <c r="BC77" s="40">
        <f t="shared" ref="BC77:BC93" si="44">SUM(AY77,BA77,BB77)</f>
        <v>0</v>
      </c>
      <c r="BE77" s="85">
        <v>55685</v>
      </c>
      <c r="BF77" s="40">
        <v>0</v>
      </c>
      <c r="BG77" s="40"/>
      <c r="BH77" s="40">
        <v>3425625</v>
      </c>
      <c r="BI77" s="40">
        <v>0</v>
      </c>
      <c r="BJ77" s="40">
        <f t="shared" ref="BJ77:BJ93" si="45">SUM(BF77,BH77,BI77)</f>
        <v>3425625</v>
      </c>
      <c r="BL77" s="85">
        <v>55685</v>
      </c>
      <c r="BM77" s="40">
        <v>1740000</v>
      </c>
      <c r="BN77" s="101">
        <v>0.05</v>
      </c>
      <c r="BO77" s="40">
        <v>43500</v>
      </c>
      <c r="BP77" s="40">
        <f t="shared" ref="BP77:BP93" si="46">SUM(BM77,BO77)</f>
        <v>1783500</v>
      </c>
      <c r="BR77" s="85">
        <v>55685</v>
      </c>
      <c r="BV77" s="40">
        <f t="shared" ref="BV77:BV93" si="47">SUM(BS77,BU77)</f>
        <v>0</v>
      </c>
      <c r="BX77" s="85">
        <v>55685</v>
      </c>
      <c r="BY77" s="40">
        <v>125400000</v>
      </c>
      <c r="BZ77" s="87">
        <v>0.05</v>
      </c>
      <c r="CA77" s="40">
        <v>3135000</v>
      </c>
      <c r="CB77" s="40">
        <v>0</v>
      </c>
      <c r="CC77" s="40">
        <f t="shared" si="34"/>
        <v>128535000</v>
      </c>
      <c r="CE77" s="85">
        <v>55685</v>
      </c>
      <c r="CK77" s="85">
        <v>55685</v>
      </c>
      <c r="CL77" s="40"/>
      <c r="CM77" s="40"/>
      <c r="CP77" s="40">
        <f t="shared" ref="CP77:CP93" si="48">SUM(CL77,CN77,CO77)</f>
        <v>0</v>
      </c>
      <c r="CR77" s="85">
        <v>55685</v>
      </c>
      <c r="CV77" s="40">
        <f t="shared" ref="CV77:CV93" si="49">SUM(CS77,CU77)</f>
        <v>0</v>
      </c>
      <c r="CX77" s="85">
        <v>55685</v>
      </c>
      <c r="DC77" s="40">
        <f t="shared" ref="DC77:DC93" si="50">SUM(CY77,DA77,DB77)</f>
        <v>0</v>
      </c>
      <c r="DE77" s="85">
        <v>55685</v>
      </c>
      <c r="DJ77" s="40">
        <f t="shared" si="35"/>
        <v>0</v>
      </c>
      <c r="DL77" s="85">
        <v>55685</v>
      </c>
      <c r="DR77" s="85">
        <v>55685</v>
      </c>
      <c r="DV77" s="40">
        <f t="shared" ref="DV77:DV93" si="51">SUM(DS77,DU77)</f>
        <v>0</v>
      </c>
      <c r="DX77" s="85">
        <v>55685</v>
      </c>
      <c r="EB77" s="40">
        <f t="shared" ref="EB77:EB93" si="52">SUM(DY77,EA77)</f>
        <v>0</v>
      </c>
      <c r="ED77" s="85">
        <v>55685</v>
      </c>
      <c r="EI77" s="40">
        <f t="shared" ref="EI77:EI93" si="53">SUM(EE77,EG77,EH77)</f>
        <v>0</v>
      </c>
      <c r="EK77" s="85">
        <v>55685</v>
      </c>
      <c r="EP77" s="40">
        <f t="shared" ref="EP77:EP93" si="54">SUM(EL77,EN77,EO77)</f>
        <v>0</v>
      </c>
      <c r="ER77" s="85">
        <v>55685</v>
      </c>
      <c r="EW77" s="40">
        <f t="shared" ref="EW77:EW93" si="55">SUM(ES77,EU77,EV77)</f>
        <v>0</v>
      </c>
      <c r="EY77" s="85">
        <v>55685</v>
      </c>
      <c r="FD77" s="40">
        <f t="shared" ref="FD77:FD93" si="56">SUM(EZ77,FB77,FC77)</f>
        <v>0</v>
      </c>
    </row>
    <row r="78" spans="6:160" x14ac:dyDescent="0.4">
      <c r="F78" s="85">
        <v>55884</v>
      </c>
      <c r="G78" s="85"/>
      <c r="H78" s="85">
        <v>55868</v>
      </c>
      <c r="I78" s="40"/>
      <c r="O78" s="85">
        <v>55884</v>
      </c>
      <c r="P78" s="85"/>
      <c r="Q78" s="85">
        <v>55868</v>
      </c>
      <c r="R78" s="40">
        <f t="shared" si="37"/>
        <v>24777137.699999999</v>
      </c>
      <c r="S78" s="40">
        <f t="shared" si="38"/>
        <v>8175750</v>
      </c>
      <c r="T78" s="40">
        <f t="shared" si="39"/>
        <v>176794160.5</v>
      </c>
      <c r="U78" s="40">
        <f t="shared" si="40"/>
        <v>0</v>
      </c>
      <c r="V78" s="40">
        <f t="shared" ref="V78:V93" si="57">SUM(R78:U78)</f>
        <v>209747048.19999999</v>
      </c>
      <c r="X78" s="85">
        <v>55868</v>
      </c>
      <c r="Y78" s="40"/>
      <c r="Z78" s="101"/>
      <c r="AA78" s="40"/>
      <c r="AB78" s="101"/>
      <c r="AC78" s="40">
        <f t="shared" si="36"/>
        <v>0</v>
      </c>
      <c r="AD78" s="40"/>
      <c r="AE78" s="40"/>
      <c r="AF78" s="40">
        <f t="shared" si="42"/>
        <v>0</v>
      </c>
      <c r="AH78" s="85">
        <v>55868</v>
      </c>
      <c r="AI78" s="40"/>
      <c r="AJ78" s="40"/>
      <c r="AK78" s="40"/>
      <c r="AL78" s="40"/>
      <c r="AM78" s="40"/>
      <c r="AN78" s="40">
        <f t="shared" si="41"/>
        <v>0</v>
      </c>
      <c r="AP78" s="85">
        <v>55868</v>
      </c>
      <c r="AQ78" s="40">
        <v>223637.7</v>
      </c>
      <c r="AR78" s="101">
        <v>5.2499999999999998E-2</v>
      </c>
      <c r="AS78" s="40">
        <v>4750125</v>
      </c>
      <c r="AT78" s="40">
        <v>1149960.5</v>
      </c>
      <c r="AU78" s="40"/>
      <c r="AV78" s="40">
        <f t="shared" si="43"/>
        <v>6123723.2000000002</v>
      </c>
      <c r="AX78" s="85">
        <v>55868</v>
      </c>
      <c r="AY78" s="40">
        <v>733950</v>
      </c>
      <c r="AZ78" s="101">
        <v>5.2499999999999998E-2</v>
      </c>
      <c r="BA78" s="40">
        <v>0</v>
      </c>
      <c r="BB78" s="40">
        <v>3773750</v>
      </c>
      <c r="BC78" s="40">
        <f t="shared" si="44"/>
        <v>4507700</v>
      </c>
      <c r="BE78" s="85">
        <v>55868</v>
      </c>
      <c r="BF78" s="40">
        <v>23819550</v>
      </c>
      <c r="BG78" s="84" t="s">
        <v>103</v>
      </c>
      <c r="BH78" s="40">
        <v>3425625</v>
      </c>
      <c r="BI78" s="40">
        <v>171870450</v>
      </c>
      <c r="BJ78" s="40">
        <f t="shared" si="45"/>
        <v>199115625</v>
      </c>
      <c r="BL78" s="85">
        <v>55868</v>
      </c>
      <c r="BM78" s="40">
        <v>0</v>
      </c>
      <c r="BN78" s="40"/>
      <c r="BO78" s="40">
        <v>0</v>
      </c>
      <c r="BP78" s="40">
        <f t="shared" si="46"/>
        <v>0</v>
      </c>
      <c r="BR78" s="85">
        <v>55868</v>
      </c>
      <c r="BV78" s="40">
        <f t="shared" si="47"/>
        <v>0</v>
      </c>
      <c r="BX78" s="85">
        <v>55868</v>
      </c>
      <c r="BY78" s="40"/>
      <c r="BZ78" s="87"/>
      <c r="CA78" s="40"/>
      <c r="CB78" s="40"/>
      <c r="CC78" s="40">
        <f t="shared" si="34"/>
        <v>0</v>
      </c>
      <c r="CE78" s="85">
        <v>55868</v>
      </c>
      <c r="CG78" s="87"/>
      <c r="CK78" s="85">
        <v>55868</v>
      </c>
      <c r="CL78" s="40"/>
      <c r="CM78" s="87"/>
      <c r="CN78" s="40"/>
      <c r="CP78" s="40">
        <f t="shared" si="48"/>
        <v>0</v>
      </c>
      <c r="CR78" s="85">
        <v>55868</v>
      </c>
      <c r="CS78" s="40"/>
      <c r="CT78" s="87"/>
      <c r="CU78" s="40"/>
      <c r="CV78" s="40">
        <f t="shared" si="49"/>
        <v>0</v>
      </c>
      <c r="CX78" s="85">
        <v>55868</v>
      </c>
      <c r="CZ78" s="87"/>
      <c r="DC78" s="40">
        <f t="shared" si="50"/>
        <v>0</v>
      </c>
      <c r="DE78" s="85">
        <v>55868</v>
      </c>
      <c r="DG78" s="87"/>
      <c r="DJ78" s="40">
        <f t="shared" si="35"/>
        <v>0</v>
      </c>
      <c r="DL78" s="85">
        <v>55868</v>
      </c>
      <c r="DM78" s="67"/>
      <c r="DN78" s="67"/>
      <c r="DO78" s="67"/>
      <c r="DP78" s="67"/>
      <c r="DR78" s="85">
        <v>55868</v>
      </c>
      <c r="DS78" s="67"/>
      <c r="DT78" s="67"/>
      <c r="DU78" s="67"/>
      <c r="DV78" s="40">
        <f t="shared" si="51"/>
        <v>0</v>
      </c>
      <c r="DX78" s="85">
        <v>55868</v>
      </c>
      <c r="DY78" s="67"/>
      <c r="DZ78" s="67"/>
      <c r="EA78" s="67"/>
      <c r="EB78" s="40">
        <f t="shared" si="52"/>
        <v>0</v>
      </c>
      <c r="ED78" s="85">
        <v>55868</v>
      </c>
      <c r="EE78" s="67"/>
      <c r="EF78" s="67"/>
      <c r="EG78" s="67"/>
      <c r="EH78" s="67"/>
      <c r="EI78" s="40">
        <f t="shared" si="53"/>
        <v>0</v>
      </c>
      <c r="EK78" s="85">
        <v>55868</v>
      </c>
      <c r="EL78" s="67"/>
      <c r="EM78" s="67"/>
      <c r="EN78" s="67"/>
      <c r="EO78" s="67"/>
      <c r="EP78" s="40">
        <f t="shared" si="54"/>
        <v>0</v>
      </c>
      <c r="ER78" s="85">
        <v>55868</v>
      </c>
      <c r="ES78" s="67"/>
      <c r="ET78" s="67"/>
      <c r="EU78" s="67"/>
      <c r="EV78" s="67"/>
      <c r="EW78" s="40">
        <f t="shared" si="55"/>
        <v>0</v>
      </c>
      <c r="EY78" s="85">
        <v>55868</v>
      </c>
      <c r="EZ78" s="67"/>
      <c r="FA78" s="67"/>
      <c r="FB78" s="67"/>
      <c r="FC78" s="67"/>
      <c r="FD78" s="40">
        <f t="shared" si="56"/>
        <v>0</v>
      </c>
    </row>
    <row r="79" spans="6:160" x14ac:dyDescent="0.4">
      <c r="F79" s="85">
        <v>56065</v>
      </c>
      <c r="G79" s="85"/>
      <c r="H79" s="85">
        <v>56050</v>
      </c>
      <c r="I79" s="40">
        <f>SUM(Y78:Y79,AA78:AA79,AI78:AI79,AQ78:AQ79,AY78:AY79,BF78:BF79,BM78:BM79,BS78:BS79,BY78:BY79,CF78:CF79,CL78:CL79,CS78:CS79,CY78:CY79,DF78:DF79,DM78:DM79,DS78:DS79,DY78:DY79,EE78:EE79,EL78:EL79,ES78:ES79,EZ78:EZ79)</f>
        <v>154112137.69999999</v>
      </c>
      <c r="J79" s="40">
        <f>SUM(AC78:AC79,AK78:AK79,AS78:AS79,BA78:BA79,BH78:BH79,BO78:BO79,BU78:BU79,CA78:CA79,CH78:CH79,CN78:CN79,CU78:CU79,DA78:DA79,DH78:DH79,DO78:DO79,DU78:DU79,EA78:EA79,EG78:EG79,EN78:EN79,EU78:EU79,FB78:FB79)</f>
        <v>16334250</v>
      </c>
      <c r="K79" s="40">
        <f>SUM(AD78:AD79,AL78:AL79,AT78:AT79,BB78:BB79,BI78:BI79,CB78:CB79,CO78:CO79,DB78:DB79,DI78:DI79,EH78:EH79,EO78:EO79,EV78:EV79,FC78:FC79)</f>
        <v>176794160.5</v>
      </c>
      <c r="L79" s="40">
        <f>SUM(AE78:AE79,AM78:AM79,AU78:AU79)</f>
        <v>0</v>
      </c>
      <c r="M79" s="40">
        <f>SUM(I79:L79)</f>
        <v>347240548.19999999</v>
      </c>
      <c r="O79" s="85">
        <v>56065</v>
      </c>
      <c r="P79" s="85"/>
      <c r="Q79" s="85">
        <v>56050</v>
      </c>
      <c r="R79" s="40">
        <f t="shared" si="37"/>
        <v>129335000</v>
      </c>
      <c r="S79" s="40">
        <f t="shared" si="38"/>
        <v>8158500</v>
      </c>
      <c r="T79" s="40">
        <f t="shared" si="39"/>
        <v>0</v>
      </c>
      <c r="U79" s="40">
        <f t="shared" si="40"/>
        <v>0</v>
      </c>
      <c r="V79" s="40">
        <f t="shared" si="57"/>
        <v>137493500</v>
      </c>
      <c r="X79" s="85">
        <v>56050</v>
      </c>
      <c r="Y79" s="40"/>
      <c r="Z79" s="101"/>
      <c r="AA79" s="40"/>
      <c r="AB79" s="101"/>
      <c r="AC79" s="40">
        <f t="shared" si="36"/>
        <v>0</v>
      </c>
      <c r="AD79" s="40"/>
      <c r="AE79" s="40"/>
      <c r="AF79" s="40">
        <f t="shared" si="42"/>
        <v>0</v>
      </c>
      <c r="AH79" s="85">
        <v>56050</v>
      </c>
      <c r="AI79" s="40"/>
      <c r="AJ79" s="40"/>
      <c r="AK79" s="40"/>
      <c r="AL79" s="40"/>
      <c r="AM79" s="40"/>
      <c r="AN79" s="40">
        <f t="shared" si="41"/>
        <v>0</v>
      </c>
      <c r="AP79" s="85">
        <v>56050</v>
      </c>
      <c r="AQ79" s="40">
        <v>0</v>
      </c>
      <c r="AR79" s="101"/>
      <c r="AS79" s="40">
        <v>4750125</v>
      </c>
      <c r="AT79" s="40">
        <v>0</v>
      </c>
      <c r="AU79" s="40"/>
      <c r="AV79" s="40">
        <f t="shared" si="43"/>
        <v>4750125</v>
      </c>
      <c r="AX79" s="85">
        <v>56050</v>
      </c>
      <c r="AY79" s="40">
        <v>0</v>
      </c>
      <c r="BA79" s="40">
        <v>0</v>
      </c>
      <c r="BB79" s="40">
        <v>0</v>
      </c>
      <c r="BC79" s="40">
        <f t="shared" si="44"/>
        <v>0</v>
      </c>
      <c r="BE79" s="85">
        <v>56050</v>
      </c>
      <c r="BF79" s="40">
        <v>129335000</v>
      </c>
      <c r="BG79" s="84" t="s">
        <v>104</v>
      </c>
      <c r="BH79" s="40">
        <v>3408375</v>
      </c>
      <c r="BI79" s="40">
        <v>0</v>
      </c>
      <c r="BJ79" s="40">
        <f t="shared" si="45"/>
        <v>132743375</v>
      </c>
      <c r="BL79" s="85">
        <v>56050</v>
      </c>
      <c r="BM79" s="40">
        <v>0</v>
      </c>
      <c r="BN79" s="40"/>
      <c r="BO79" s="40">
        <v>0</v>
      </c>
      <c r="BP79" s="40">
        <f t="shared" si="46"/>
        <v>0</v>
      </c>
      <c r="BR79" s="85">
        <v>56050</v>
      </c>
      <c r="BV79" s="40">
        <f t="shared" si="47"/>
        <v>0</v>
      </c>
      <c r="BX79" s="85">
        <v>56050</v>
      </c>
      <c r="BY79" s="40"/>
      <c r="BZ79" s="87"/>
      <c r="CA79" s="40"/>
      <c r="CB79" s="40"/>
      <c r="CC79" s="40">
        <f t="shared" si="34"/>
        <v>0</v>
      </c>
      <c r="CE79" s="85">
        <v>56050</v>
      </c>
      <c r="CG79" s="87"/>
      <c r="CK79" s="85">
        <v>56050</v>
      </c>
      <c r="CL79" s="40"/>
      <c r="CM79" s="87"/>
      <c r="CN79" s="40"/>
      <c r="CP79" s="40">
        <f t="shared" si="48"/>
        <v>0</v>
      </c>
      <c r="CR79" s="85">
        <v>56050</v>
      </c>
      <c r="CS79" s="40"/>
      <c r="CT79" s="87"/>
      <c r="CU79" s="40"/>
      <c r="CV79" s="40">
        <f t="shared" si="49"/>
        <v>0</v>
      </c>
      <c r="CX79" s="85">
        <v>56050</v>
      </c>
      <c r="CZ79" s="87"/>
      <c r="DC79" s="40">
        <f t="shared" si="50"/>
        <v>0</v>
      </c>
      <c r="DE79" s="85">
        <v>56050</v>
      </c>
      <c r="DG79" s="87"/>
      <c r="DJ79" s="40">
        <f t="shared" si="35"/>
        <v>0</v>
      </c>
      <c r="DL79" s="85">
        <v>56050</v>
      </c>
      <c r="DM79" s="67"/>
      <c r="DN79" s="67"/>
      <c r="DO79" s="67"/>
      <c r="DP79" s="67"/>
      <c r="DR79" s="85">
        <v>56050</v>
      </c>
      <c r="DS79" s="67"/>
      <c r="DT79" s="67"/>
      <c r="DU79" s="67"/>
      <c r="DV79" s="40">
        <f t="shared" si="51"/>
        <v>0</v>
      </c>
      <c r="DX79" s="85">
        <v>56050</v>
      </c>
      <c r="DY79" s="67"/>
      <c r="DZ79" s="67"/>
      <c r="EA79" s="67"/>
      <c r="EB79" s="40">
        <f t="shared" si="52"/>
        <v>0</v>
      </c>
      <c r="ED79" s="85">
        <v>56050</v>
      </c>
      <c r="EE79" s="67"/>
      <c r="EF79" s="67"/>
      <c r="EG79" s="67"/>
      <c r="EH79" s="67"/>
      <c r="EI79" s="40">
        <f t="shared" si="53"/>
        <v>0</v>
      </c>
      <c r="EK79" s="85">
        <v>56050</v>
      </c>
      <c r="EL79" s="67"/>
      <c r="EM79" s="67"/>
      <c r="EN79" s="67"/>
      <c r="EO79" s="67"/>
      <c r="EP79" s="40">
        <f t="shared" si="54"/>
        <v>0</v>
      </c>
      <c r="ER79" s="85">
        <v>56050</v>
      </c>
      <c r="ES79" s="67"/>
      <c r="ET79" s="67"/>
      <c r="EU79" s="67"/>
      <c r="EV79" s="67"/>
      <c r="EW79" s="40">
        <f t="shared" si="55"/>
        <v>0</v>
      </c>
      <c r="EY79" s="85">
        <v>56050</v>
      </c>
      <c r="EZ79" s="67"/>
      <c r="FA79" s="67"/>
      <c r="FB79" s="67"/>
      <c r="FC79" s="67"/>
      <c r="FD79" s="40">
        <f t="shared" si="56"/>
        <v>0</v>
      </c>
    </row>
    <row r="80" spans="6:160" x14ac:dyDescent="0.4">
      <c r="F80" s="85">
        <v>56249</v>
      </c>
      <c r="G80" s="85"/>
      <c r="H80" s="85">
        <v>56233</v>
      </c>
      <c r="I80" s="40"/>
      <c r="O80" s="85">
        <v>56249</v>
      </c>
      <c r="P80" s="85"/>
      <c r="Q80" s="85">
        <v>56233</v>
      </c>
      <c r="R80" s="40">
        <f t="shared" si="37"/>
        <v>32548480.649999999</v>
      </c>
      <c r="S80" s="40">
        <f t="shared" si="38"/>
        <v>4750125</v>
      </c>
      <c r="T80" s="40">
        <f t="shared" si="39"/>
        <v>177986684.5</v>
      </c>
      <c r="U80" s="40">
        <f t="shared" si="40"/>
        <v>0</v>
      </c>
      <c r="V80" s="40">
        <f t="shared" si="57"/>
        <v>215285290.15000001</v>
      </c>
      <c r="X80" s="85">
        <v>56233</v>
      </c>
      <c r="Y80" s="40"/>
      <c r="Z80" s="101"/>
      <c r="AA80" s="40"/>
      <c r="AB80" s="101"/>
      <c r="AC80" s="40">
        <f t="shared" si="36"/>
        <v>0</v>
      </c>
      <c r="AD80" s="40"/>
      <c r="AE80" s="40"/>
      <c r="AF80" s="40">
        <f t="shared" si="42"/>
        <v>0</v>
      </c>
      <c r="AH80" s="85">
        <v>56233</v>
      </c>
      <c r="AI80" s="40"/>
      <c r="AJ80" s="40"/>
      <c r="AK80" s="40"/>
      <c r="AL80" s="40"/>
      <c r="AM80" s="40"/>
      <c r="AN80" s="40">
        <f t="shared" si="41"/>
        <v>0</v>
      </c>
      <c r="AP80" s="85">
        <v>56233</v>
      </c>
      <c r="AQ80" s="40">
        <v>0</v>
      </c>
      <c r="AR80" s="101"/>
      <c r="AS80" s="40">
        <v>4750125</v>
      </c>
      <c r="AT80" s="40">
        <v>0</v>
      </c>
      <c r="AU80" s="40"/>
      <c r="AV80" s="40">
        <f t="shared" si="43"/>
        <v>4750125</v>
      </c>
      <c r="AX80" s="85">
        <v>56233</v>
      </c>
      <c r="AY80" s="40">
        <v>32548480.649999999</v>
      </c>
      <c r="AZ80" s="101">
        <v>5.2499999999999998E-2</v>
      </c>
      <c r="BA80" s="40">
        <v>0</v>
      </c>
      <c r="BB80" s="40">
        <v>177986684.5</v>
      </c>
      <c r="BC80" s="40">
        <f t="shared" si="44"/>
        <v>210535165.15000001</v>
      </c>
      <c r="BE80" s="85">
        <v>56233</v>
      </c>
      <c r="BF80" s="40"/>
      <c r="BG80" s="40"/>
      <c r="BH80" s="40"/>
      <c r="BI80" s="40"/>
      <c r="BJ80" s="40">
        <f t="shared" si="45"/>
        <v>0</v>
      </c>
      <c r="BL80" s="85">
        <v>56233</v>
      </c>
      <c r="BN80" s="40"/>
      <c r="BP80" s="40">
        <f t="shared" si="46"/>
        <v>0</v>
      </c>
      <c r="BR80" s="85">
        <v>56233</v>
      </c>
      <c r="BV80" s="40">
        <f t="shared" si="47"/>
        <v>0</v>
      </c>
      <c r="BX80" s="85">
        <v>56233</v>
      </c>
      <c r="BY80" s="40"/>
      <c r="BZ80" s="87"/>
      <c r="CA80" s="40"/>
      <c r="CB80" s="40"/>
      <c r="CC80" s="40">
        <f t="shared" si="34"/>
        <v>0</v>
      </c>
      <c r="CE80" s="85">
        <v>56233</v>
      </c>
      <c r="CG80" s="87"/>
      <c r="CK80" s="85">
        <v>56233</v>
      </c>
      <c r="CL80" s="40"/>
      <c r="CM80" s="87"/>
      <c r="CN80" s="40"/>
      <c r="CP80" s="40">
        <f t="shared" si="48"/>
        <v>0</v>
      </c>
      <c r="CR80" s="85">
        <v>56233</v>
      </c>
      <c r="CS80" s="40"/>
      <c r="CT80" s="87"/>
      <c r="CU80" s="40"/>
      <c r="CV80" s="40">
        <f t="shared" si="49"/>
        <v>0</v>
      </c>
      <c r="CX80" s="85">
        <v>56233</v>
      </c>
      <c r="CZ80" s="87"/>
      <c r="DC80" s="40">
        <f t="shared" si="50"/>
        <v>0</v>
      </c>
      <c r="DE80" s="85">
        <v>56233</v>
      </c>
      <c r="DG80" s="87"/>
      <c r="DJ80" s="40">
        <f t="shared" si="35"/>
        <v>0</v>
      </c>
      <c r="DL80" s="85">
        <v>56233</v>
      </c>
      <c r="DM80" s="67"/>
      <c r="DN80" s="67"/>
      <c r="DO80" s="67"/>
      <c r="DP80" s="67"/>
      <c r="DR80" s="85">
        <v>56233</v>
      </c>
      <c r="DS80" s="67"/>
      <c r="DT80" s="67"/>
      <c r="DU80" s="67"/>
      <c r="DV80" s="40">
        <f t="shared" si="51"/>
        <v>0</v>
      </c>
      <c r="DX80" s="85">
        <v>56233</v>
      </c>
      <c r="DY80" s="67"/>
      <c r="DZ80" s="67"/>
      <c r="EA80" s="67"/>
      <c r="EB80" s="40">
        <f t="shared" si="52"/>
        <v>0</v>
      </c>
      <c r="ED80" s="85">
        <v>56233</v>
      </c>
      <c r="EE80" s="67"/>
      <c r="EF80" s="67"/>
      <c r="EG80" s="67"/>
      <c r="EH80" s="67"/>
      <c r="EI80" s="40">
        <f t="shared" si="53"/>
        <v>0</v>
      </c>
      <c r="EK80" s="85">
        <v>56233</v>
      </c>
      <c r="EL80" s="67"/>
      <c r="EM80" s="67"/>
      <c r="EN80" s="67"/>
      <c r="EO80" s="67"/>
      <c r="EP80" s="40">
        <f t="shared" si="54"/>
        <v>0</v>
      </c>
      <c r="ER80" s="85">
        <v>56233</v>
      </c>
      <c r="ES80" s="67"/>
      <c r="ET80" s="67"/>
      <c r="EU80" s="67"/>
      <c r="EV80" s="67"/>
      <c r="EW80" s="40">
        <f t="shared" si="55"/>
        <v>0</v>
      </c>
      <c r="EY80" s="85">
        <v>56233</v>
      </c>
      <c r="EZ80" s="67"/>
      <c r="FA80" s="67"/>
      <c r="FB80" s="67"/>
      <c r="FC80" s="67"/>
      <c r="FD80" s="40">
        <f t="shared" si="56"/>
        <v>0</v>
      </c>
    </row>
    <row r="81" spans="2:160" x14ac:dyDescent="0.4">
      <c r="F81" s="85">
        <v>56430</v>
      </c>
      <c r="G81" s="85"/>
      <c r="H81" s="85">
        <v>56415</v>
      </c>
      <c r="I81" s="40">
        <f>SUM(Y80:Y81,AA80:AA81,AI80:AI81,AQ80:AQ81,AY80:AY81,BF80:BF81,BM80:BM81,BS80:BS81,BY80:BY81,CF80:CF81,CL80:CL81,CS80:CS81,CY80:CY81,DF80:DF81,DM80:DM81,DS80:DS81,DY80:DY81,EE80:EE81,EL80:EL81,ES80:ES81,EZ80:EZ81)</f>
        <v>68697912.650000006</v>
      </c>
      <c r="J81" s="40">
        <f>SUM(AC80:AC81,AK80:AK81,AS80:AS81,BA80:BA81,BH80:BH81,BO80:BO81,BU80:BU81,CA80:CA81,CH80:CH81,CN80:CN81,CU80:CU81,DA80:DA81,DH80:DH81,DO80:DO81,DU80:DU81,EA80:EA81,EG80:EG81,EN80:EN81,EU80:EU81,FB80:FB81)</f>
        <v>9500250</v>
      </c>
      <c r="K81" s="40">
        <f>SUM(AD80:AD81,AL80:AL81,AT80:AT81,BB80:BB81,BI80:BI81,CB80:CB81,CO80:CO81,DB80:DB81,DI80:DI81,EH80:EH81,EO80:EO81,EV80:EV81,FC80:FC81)</f>
        <v>269045344.5</v>
      </c>
      <c r="L81" s="40">
        <f>SUM(AE80:AE81,AM80:AM81,AU80:AU81)</f>
        <v>0</v>
      </c>
      <c r="M81" s="40">
        <f>SUM(I81:L81)</f>
        <v>347243507.14999998</v>
      </c>
      <c r="O81" s="85">
        <v>56430</v>
      </c>
      <c r="P81" s="85"/>
      <c r="Q81" s="85">
        <v>56415</v>
      </c>
      <c r="R81" s="40">
        <f t="shared" si="37"/>
        <v>36149432</v>
      </c>
      <c r="S81" s="40">
        <f t="shared" si="38"/>
        <v>4750125</v>
      </c>
      <c r="T81" s="40">
        <f t="shared" si="39"/>
        <v>91058660</v>
      </c>
      <c r="U81" s="40">
        <f t="shared" si="40"/>
        <v>0</v>
      </c>
      <c r="V81" s="40">
        <f t="shared" si="57"/>
        <v>131958217</v>
      </c>
      <c r="X81" s="85">
        <v>56415</v>
      </c>
      <c r="Y81" s="40"/>
      <c r="Z81" s="101"/>
      <c r="AA81" s="40"/>
      <c r="AB81" s="101"/>
      <c r="AC81" s="40">
        <f t="shared" si="36"/>
        <v>0</v>
      </c>
      <c r="AD81" s="40"/>
      <c r="AE81" s="40"/>
      <c r="AF81" s="40">
        <f t="shared" si="42"/>
        <v>0</v>
      </c>
      <c r="AH81" s="85">
        <v>56415</v>
      </c>
      <c r="AI81" s="40"/>
      <c r="AJ81" s="40"/>
      <c r="AK81" s="40"/>
      <c r="AL81" s="40"/>
      <c r="AM81" s="40"/>
      <c r="AN81" s="40">
        <f t="shared" si="41"/>
        <v>0</v>
      </c>
      <c r="AP81" s="85">
        <v>56415</v>
      </c>
      <c r="AQ81" s="40">
        <v>33947582</v>
      </c>
      <c r="AR81" s="185" t="s">
        <v>105</v>
      </c>
      <c r="AS81" s="40">
        <v>4750125</v>
      </c>
      <c r="AT81" s="40">
        <v>78644210</v>
      </c>
      <c r="AU81" s="40"/>
      <c r="AV81" s="40">
        <f t="shared" si="43"/>
        <v>117341917</v>
      </c>
      <c r="AX81" s="85">
        <v>56415</v>
      </c>
      <c r="AY81" s="40">
        <v>2201850</v>
      </c>
      <c r="AZ81" s="101">
        <v>5.2499999999999998E-2</v>
      </c>
      <c r="BA81" s="40">
        <v>0</v>
      </c>
      <c r="BB81" s="40">
        <v>12414450</v>
      </c>
      <c r="BC81" s="40">
        <f t="shared" si="44"/>
        <v>14616300</v>
      </c>
      <c r="BE81" s="85">
        <v>56415</v>
      </c>
      <c r="BF81" s="40"/>
      <c r="BG81" s="40"/>
      <c r="BH81" s="40"/>
      <c r="BI81" s="40"/>
      <c r="BJ81" s="40">
        <f t="shared" si="45"/>
        <v>0</v>
      </c>
      <c r="BL81" s="85">
        <v>56415</v>
      </c>
      <c r="BN81" s="40"/>
      <c r="BP81" s="40">
        <f t="shared" si="46"/>
        <v>0</v>
      </c>
      <c r="BR81" s="85">
        <v>56415</v>
      </c>
      <c r="BV81" s="40">
        <f t="shared" si="47"/>
        <v>0</v>
      </c>
      <c r="BX81" s="85">
        <v>56415</v>
      </c>
      <c r="BY81" s="40"/>
      <c r="BZ81" s="87"/>
      <c r="CA81" s="40"/>
      <c r="CB81" s="40"/>
      <c r="CC81" s="40">
        <f t="shared" si="34"/>
        <v>0</v>
      </c>
      <c r="CE81" s="85">
        <v>56415</v>
      </c>
      <c r="CG81" s="87"/>
      <c r="CK81" s="85">
        <v>56415</v>
      </c>
      <c r="CL81" s="40"/>
      <c r="CM81" s="87"/>
      <c r="CN81" s="40"/>
      <c r="CP81" s="40">
        <f t="shared" si="48"/>
        <v>0</v>
      </c>
      <c r="CR81" s="85">
        <v>56415</v>
      </c>
      <c r="CS81" s="40"/>
      <c r="CT81" s="87"/>
      <c r="CU81" s="40"/>
      <c r="CV81" s="40">
        <f t="shared" si="49"/>
        <v>0</v>
      </c>
      <c r="CX81" s="85">
        <v>56415</v>
      </c>
      <c r="CZ81" s="87"/>
      <c r="DC81" s="40">
        <f t="shared" si="50"/>
        <v>0</v>
      </c>
      <c r="DE81" s="85">
        <v>56415</v>
      </c>
      <c r="DG81" s="87"/>
      <c r="DJ81" s="40">
        <f t="shared" si="35"/>
        <v>0</v>
      </c>
      <c r="DL81" s="85">
        <v>56415</v>
      </c>
      <c r="DM81" s="67"/>
      <c r="DN81" s="67"/>
      <c r="DO81" s="67"/>
      <c r="DP81" s="67"/>
      <c r="DR81" s="85">
        <v>56415</v>
      </c>
      <c r="DS81" s="67"/>
      <c r="DT81" s="67"/>
      <c r="DU81" s="67"/>
      <c r="DV81" s="40">
        <f t="shared" si="51"/>
        <v>0</v>
      </c>
      <c r="DX81" s="85">
        <v>56415</v>
      </c>
      <c r="DY81" s="67"/>
      <c r="DZ81" s="67"/>
      <c r="EA81" s="67"/>
      <c r="EB81" s="40">
        <f t="shared" si="52"/>
        <v>0</v>
      </c>
      <c r="ED81" s="85">
        <v>56415</v>
      </c>
      <c r="EE81" s="67"/>
      <c r="EF81" s="67"/>
      <c r="EG81" s="67"/>
      <c r="EH81" s="67"/>
      <c r="EI81" s="40">
        <f t="shared" si="53"/>
        <v>0</v>
      </c>
      <c r="EK81" s="85">
        <v>56415</v>
      </c>
      <c r="EL81" s="67"/>
      <c r="EM81" s="67"/>
      <c r="EN81" s="67"/>
      <c r="EO81" s="67"/>
      <c r="EP81" s="40">
        <f t="shared" si="54"/>
        <v>0</v>
      </c>
      <c r="ER81" s="85">
        <v>56415</v>
      </c>
      <c r="ES81" s="67"/>
      <c r="ET81" s="67"/>
      <c r="EU81" s="67"/>
      <c r="EV81" s="67"/>
      <c r="EW81" s="40">
        <f t="shared" si="55"/>
        <v>0</v>
      </c>
      <c r="EY81" s="85">
        <v>56415</v>
      </c>
      <c r="EZ81" s="67"/>
      <c r="FA81" s="67"/>
      <c r="FB81" s="67"/>
      <c r="FC81" s="67"/>
      <c r="FD81" s="40">
        <f t="shared" si="56"/>
        <v>0</v>
      </c>
    </row>
    <row r="82" spans="2:160" x14ac:dyDescent="0.4">
      <c r="F82" s="85">
        <v>56614</v>
      </c>
      <c r="G82" s="85"/>
      <c r="H82" s="85">
        <v>56598</v>
      </c>
      <c r="I82" s="40"/>
      <c r="O82" s="85">
        <v>56614</v>
      </c>
      <c r="P82" s="85"/>
      <c r="Q82" s="85">
        <v>56598</v>
      </c>
      <c r="R82" s="40">
        <f t="shared" si="37"/>
        <v>30978571.5</v>
      </c>
      <c r="S82" s="40">
        <f t="shared" si="38"/>
        <v>4250125</v>
      </c>
      <c r="T82" s="40">
        <f t="shared" si="39"/>
        <v>180062062</v>
      </c>
      <c r="U82" s="40">
        <f t="shared" si="40"/>
        <v>0</v>
      </c>
      <c r="V82" s="40">
        <f t="shared" si="57"/>
        <v>215290758.5</v>
      </c>
      <c r="X82" s="85">
        <v>56598</v>
      </c>
      <c r="Y82" s="40"/>
      <c r="Z82" s="101"/>
      <c r="AA82" s="40"/>
      <c r="AB82" s="101"/>
      <c r="AC82" s="40">
        <f t="shared" si="36"/>
        <v>0</v>
      </c>
      <c r="AD82" s="40"/>
      <c r="AE82" s="40"/>
      <c r="AF82" s="40">
        <f t="shared" si="42"/>
        <v>0</v>
      </c>
      <c r="AH82" s="85">
        <v>56598</v>
      </c>
      <c r="AI82" s="40"/>
      <c r="AJ82" s="40"/>
      <c r="AK82" s="40"/>
      <c r="AL82" s="40"/>
      <c r="AM82" s="40"/>
      <c r="AN82" s="40">
        <f t="shared" si="41"/>
        <v>0</v>
      </c>
      <c r="AP82" s="85">
        <v>56598</v>
      </c>
      <c r="AQ82" s="40">
        <v>1558185.75</v>
      </c>
      <c r="AR82" s="101">
        <v>5.2499999999999998E-2</v>
      </c>
      <c r="AS82" s="40">
        <v>4250125</v>
      </c>
      <c r="AT82" s="40">
        <v>9057447.75</v>
      </c>
      <c r="AU82" s="40"/>
      <c r="AV82" s="40">
        <f t="shared" si="43"/>
        <v>14865758.5</v>
      </c>
      <c r="AX82" s="85">
        <v>56598</v>
      </c>
      <c r="AY82" s="40">
        <v>29420385.75</v>
      </c>
      <c r="AZ82" s="101">
        <v>5.2499999999999998E-2</v>
      </c>
      <c r="BA82" s="40">
        <v>0</v>
      </c>
      <c r="BB82" s="40">
        <v>171004614.25</v>
      </c>
      <c r="BC82" s="40">
        <f t="shared" si="44"/>
        <v>200425000</v>
      </c>
      <c r="BE82" s="85">
        <v>56598</v>
      </c>
      <c r="BF82" s="40"/>
      <c r="BG82" s="40"/>
      <c r="BH82" s="40"/>
      <c r="BI82" s="40"/>
      <c r="BJ82" s="40">
        <f t="shared" si="45"/>
        <v>0</v>
      </c>
      <c r="BL82" s="85">
        <v>56598</v>
      </c>
      <c r="BN82" s="40"/>
      <c r="BP82" s="40">
        <f t="shared" si="46"/>
        <v>0</v>
      </c>
      <c r="BR82" s="85">
        <v>56598</v>
      </c>
      <c r="BV82" s="40">
        <f t="shared" si="47"/>
        <v>0</v>
      </c>
      <c r="BX82" s="85">
        <v>56598</v>
      </c>
      <c r="BY82" s="40"/>
      <c r="BZ82" s="87"/>
      <c r="CA82" s="40"/>
      <c r="CB82" s="40"/>
      <c r="CC82" s="40">
        <f t="shared" si="34"/>
        <v>0</v>
      </c>
      <c r="CE82" s="85">
        <v>56598</v>
      </c>
      <c r="CG82" s="87"/>
      <c r="CK82" s="85">
        <v>56598</v>
      </c>
      <c r="CL82" s="40"/>
      <c r="CM82" s="87"/>
      <c r="CN82" s="40"/>
      <c r="CP82" s="40">
        <f t="shared" si="48"/>
        <v>0</v>
      </c>
      <c r="CR82" s="85">
        <v>56598</v>
      </c>
      <c r="CS82" s="40"/>
      <c r="CT82" s="87"/>
      <c r="CU82" s="40"/>
      <c r="CV82" s="40">
        <f t="shared" si="49"/>
        <v>0</v>
      </c>
      <c r="CX82" s="85">
        <v>56598</v>
      </c>
      <c r="CZ82" s="87"/>
      <c r="DC82" s="40">
        <f t="shared" si="50"/>
        <v>0</v>
      </c>
      <c r="DE82" s="85">
        <v>56598</v>
      </c>
      <c r="DG82" s="87"/>
      <c r="DJ82" s="40">
        <f t="shared" si="35"/>
        <v>0</v>
      </c>
      <c r="DL82" s="85">
        <v>56598</v>
      </c>
      <c r="DM82" s="67"/>
      <c r="DN82" s="67"/>
      <c r="DO82" s="67"/>
      <c r="DP82" s="67"/>
      <c r="DR82" s="85">
        <v>56598</v>
      </c>
      <c r="DS82" s="67"/>
      <c r="DT82" s="67"/>
      <c r="DU82" s="67"/>
      <c r="DV82" s="40">
        <f t="shared" si="51"/>
        <v>0</v>
      </c>
      <c r="DX82" s="85">
        <v>56598</v>
      </c>
      <c r="DY82" s="67"/>
      <c r="DZ82" s="67"/>
      <c r="EA82" s="67"/>
      <c r="EB82" s="40">
        <f t="shared" si="52"/>
        <v>0</v>
      </c>
      <c r="ED82" s="85">
        <v>56598</v>
      </c>
      <c r="EE82" s="67"/>
      <c r="EF82" s="67"/>
      <c r="EG82" s="67"/>
      <c r="EH82" s="67"/>
      <c r="EI82" s="40">
        <f t="shared" si="53"/>
        <v>0</v>
      </c>
      <c r="EK82" s="85">
        <v>56598</v>
      </c>
      <c r="EL82" s="67"/>
      <c r="EM82" s="67"/>
      <c r="EN82" s="67"/>
      <c r="EO82" s="67"/>
      <c r="EP82" s="40">
        <f t="shared" si="54"/>
        <v>0</v>
      </c>
      <c r="ER82" s="85">
        <v>56598</v>
      </c>
      <c r="ES82" s="67"/>
      <c r="ET82" s="67"/>
      <c r="EU82" s="67"/>
      <c r="EV82" s="67"/>
      <c r="EW82" s="40">
        <f t="shared" si="55"/>
        <v>0</v>
      </c>
      <c r="EY82" s="85">
        <v>56598</v>
      </c>
      <c r="EZ82" s="67"/>
      <c r="FA82" s="67"/>
      <c r="FB82" s="67"/>
      <c r="FC82" s="67"/>
      <c r="FD82" s="40">
        <f t="shared" si="56"/>
        <v>0</v>
      </c>
    </row>
    <row r="83" spans="2:160" x14ac:dyDescent="0.4">
      <c r="F83" s="85">
        <v>56795</v>
      </c>
      <c r="G83" s="85"/>
      <c r="H83" s="85">
        <v>56780</v>
      </c>
      <c r="I83" s="40">
        <f>SUM(Y82:Y83,AA82:AA83,AI82:AI83,AQ82:AQ83,AY82:AY83,BF82:BF83,BM82:BM83,BS82:BS83,BY82:BY83,CF82:CF83,CL82:CL83,CS82:CS83,CY82:CY83,DF82:DF83,DM82:DM83,DS82:DS83,DY82:DY83,EE82:EE83,EL82:EL83,ES82:ES83,EZ82:EZ83)</f>
        <v>66383106.799999997</v>
      </c>
      <c r="J83" s="40">
        <f>SUM(AC82:AC83,AK82:AK83,AS82:AS83,BA82:BA83,BH82:BH83,BO82:BO83,BU82:BU83,CA82:CA83,CH82:CH83,CN82:CN83,CU82:CU83,DA82:DA83,DH82:DH83,DO82:DO83,DU82:DU83,EA82:EA83,EG82:EG83,EN82:EN83,EU82:EU83,FB82:FB83)</f>
        <v>8500250</v>
      </c>
      <c r="K83" s="40">
        <f>SUM(AD82:AD83,AL82:AL83,AT82:AT83,BB82:BB83,BI82:BI83,CB82:CB83,CO82:CO83,DB82:DB83,DI82:DI83,EH82:EH83,EO82:EO83,EV82:EV83,FC82:FC83)</f>
        <v>272361222.80000001</v>
      </c>
      <c r="L83" s="40">
        <f>SUM(AE82:AE83,AM82:AM83,AU82:AU83)</f>
        <v>0</v>
      </c>
      <c r="M83" s="40">
        <f>SUM(I83:L83)</f>
        <v>347244579.60000002</v>
      </c>
      <c r="O83" s="85">
        <v>56795</v>
      </c>
      <c r="P83" s="85"/>
      <c r="Q83" s="85">
        <v>56780</v>
      </c>
      <c r="R83" s="40">
        <f t="shared" si="37"/>
        <v>35404535.299999997</v>
      </c>
      <c r="S83" s="40">
        <f t="shared" si="38"/>
        <v>4250125</v>
      </c>
      <c r="T83" s="40">
        <f t="shared" si="39"/>
        <v>92299160.799999997</v>
      </c>
      <c r="U83" s="40">
        <f t="shared" si="40"/>
        <v>0</v>
      </c>
      <c r="V83" s="40">
        <f t="shared" si="57"/>
        <v>131953821.09999999</v>
      </c>
      <c r="X83" s="85">
        <v>56780</v>
      </c>
      <c r="Y83" s="40"/>
      <c r="Z83" s="101"/>
      <c r="AA83" s="40"/>
      <c r="AB83" s="101"/>
      <c r="AC83" s="40">
        <f t="shared" si="36"/>
        <v>0</v>
      </c>
      <c r="AD83" s="40"/>
      <c r="AE83" s="40"/>
      <c r="AF83" s="40">
        <f t="shared" si="42"/>
        <v>0</v>
      </c>
      <c r="AH83" s="85">
        <v>56780</v>
      </c>
      <c r="AI83" s="40"/>
      <c r="AJ83" s="40"/>
      <c r="AK83" s="40"/>
      <c r="AL83" s="40"/>
      <c r="AM83" s="40"/>
      <c r="AN83" s="40">
        <f t="shared" si="41"/>
        <v>0</v>
      </c>
      <c r="AP83" s="85">
        <v>56780</v>
      </c>
      <c r="AQ83" s="40">
        <v>35404535.299999997</v>
      </c>
      <c r="AR83" s="185" t="s">
        <v>105</v>
      </c>
      <c r="AS83" s="40">
        <v>4250125</v>
      </c>
      <c r="AT83" s="40">
        <v>92299160.799999997</v>
      </c>
      <c r="AU83" s="40"/>
      <c r="AV83" s="40">
        <f t="shared" si="43"/>
        <v>131953821.09999999</v>
      </c>
      <c r="AX83" s="85">
        <v>56780</v>
      </c>
      <c r="AY83" s="40">
        <v>0</v>
      </c>
      <c r="BA83" s="40">
        <v>0</v>
      </c>
      <c r="BB83" s="40">
        <v>0</v>
      </c>
      <c r="BC83" s="40">
        <f t="shared" si="44"/>
        <v>0</v>
      </c>
      <c r="BE83" s="85">
        <v>56780</v>
      </c>
      <c r="BF83" s="40"/>
      <c r="BG83" s="40"/>
      <c r="BH83" s="40"/>
      <c r="BI83" s="40"/>
      <c r="BJ83" s="40">
        <f t="shared" si="45"/>
        <v>0</v>
      </c>
      <c r="BL83" s="85">
        <v>56780</v>
      </c>
      <c r="BN83" s="40"/>
      <c r="BP83" s="40">
        <f t="shared" si="46"/>
        <v>0</v>
      </c>
      <c r="BR83" s="85">
        <v>56780</v>
      </c>
      <c r="BV83" s="40">
        <f t="shared" si="47"/>
        <v>0</v>
      </c>
      <c r="BX83" s="85">
        <v>56780</v>
      </c>
      <c r="BY83" s="40"/>
      <c r="BZ83" s="87"/>
      <c r="CA83" s="40"/>
      <c r="CB83" s="40"/>
      <c r="CC83" s="40">
        <f t="shared" si="34"/>
        <v>0</v>
      </c>
      <c r="CE83" s="85">
        <v>56780</v>
      </c>
      <c r="CG83" s="87"/>
      <c r="CK83" s="85">
        <v>56780</v>
      </c>
      <c r="CL83" s="40"/>
      <c r="CM83" s="87"/>
      <c r="CN83" s="40"/>
      <c r="CP83" s="40">
        <f t="shared" si="48"/>
        <v>0</v>
      </c>
      <c r="CR83" s="85">
        <v>56780</v>
      </c>
      <c r="CS83" s="40"/>
      <c r="CT83" s="87"/>
      <c r="CU83" s="40"/>
      <c r="CV83" s="40">
        <f t="shared" si="49"/>
        <v>0</v>
      </c>
      <c r="CX83" s="85">
        <v>56780</v>
      </c>
      <c r="CZ83" s="87"/>
      <c r="DC83" s="40">
        <f t="shared" si="50"/>
        <v>0</v>
      </c>
      <c r="DE83" s="85">
        <v>56780</v>
      </c>
      <c r="DG83" s="87"/>
      <c r="DJ83" s="40">
        <f t="shared" si="35"/>
        <v>0</v>
      </c>
      <c r="DL83" s="85">
        <v>56780</v>
      </c>
      <c r="DM83" s="67"/>
      <c r="DN83" s="67"/>
      <c r="DO83" s="67"/>
      <c r="DP83" s="67"/>
      <c r="DR83" s="85">
        <v>56780</v>
      </c>
      <c r="DS83" s="67"/>
      <c r="DT83" s="67"/>
      <c r="DU83" s="67"/>
      <c r="DV83" s="40">
        <f t="shared" si="51"/>
        <v>0</v>
      </c>
      <c r="DX83" s="85">
        <v>56780</v>
      </c>
      <c r="DY83" s="67"/>
      <c r="DZ83" s="67"/>
      <c r="EA83" s="67"/>
      <c r="EB83" s="40">
        <f t="shared" si="52"/>
        <v>0</v>
      </c>
      <c r="ED83" s="85">
        <v>56780</v>
      </c>
      <c r="EE83" s="67"/>
      <c r="EF83" s="67"/>
      <c r="EG83" s="67"/>
      <c r="EH83" s="67"/>
      <c r="EI83" s="40">
        <f t="shared" si="53"/>
        <v>0</v>
      </c>
      <c r="EK83" s="85">
        <v>56780</v>
      </c>
      <c r="EL83" s="67"/>
      <c r="EM83" s="67"/>
      <c r="EN83" s="67"/>
      <c r="EO83" s="67"/>
      <c r="EP83" s="40">
        <f t="shared" si="54"/>
        <v>0</v>
      </c>
      <c r="ER83" s="85">
        <v>56780</v>
      </c>
      <c r="ES83" s="67"/>
      <c r="ET83" s="67"/>
      <c r="EU83" s="67"/>
      <c r="EV83" s="67"/>
      <c r="EW83" s="40">
        <f t="shared" si="55"/>
        <v>0</v>
      </c>
      <c r="EY83" s="85">
        <v>56780</v>
      </c>
      <c r="EZ83" s="67"/>
      <c r="FA83" s="67"/>
      <c r="FB83" s="67"/>
      <c r="FC83" s="67"/>
      <c r="FD83" s="40">
        <f t="shared" si="56"/>
        <v>0</v>
      </c>
    </row>
    <row r="84" spans="2:160" x14ac:dyDescent="0.4">
      <c r="F84" s="85">
        <v>56979</v>
      </c>
      <c r="G84" s="85"/>
      <c r="H84" s="85">
        <v>56963</v>
      </c>
      <c r="I84" s="40"/>
      <c r="O84" s="85">
        <v>56979</v>
      </c>
      <c r="P84" s="85"/>
      <c r="Q84" s="85">
        <v>56963</v>
      </c>
      <c r="R84" s="40">
        <f t="shared" si="37"/>
        <v>42944037.049999997</v>
      </c>
      <c r="S84" s="40">
        <f t="shared" si="38"/>
        <v>3750125</v>
      </c>
      <c r="T84" s="40">
        <f t="shared" si="39"/>
        <v>141683286.59999999</v>
      </c>
      <c r="U84" s="40">
        <f t="shared" si="40"/>
        <v>0</v>
      </c>
      <c r="V84" s="40">
        <f t="shared" si="57"/>
        <v>188377448.64999998</v>
      </c>
      <c r="X84" s="85">
        <v>56963</v>
      </c>
      <c r="Y84" s="40"/>
      <c r="Z84" s="101"/>
      <c r="AA84" s="40"/>
      <c r="AB84" s="101"/>
      <c r="AC84" s="40">
        <f t="shared" si="36"/>
        <v>0</v>
      </c>
      <c r="AD84" s="40"/>
      <c r="AE84" s="40"/>
      <c r="AF84" s="40">
        <f t="shared" si="42"/>
        <v>0</v>
      </c>
      <c r="AH84" s="85">
        <v>56963</v>
      </c>
      <c r="AI84" s="40"/>
      <c r="AJ84" s="40"/>
      <c r="AK84" s="40"/>
      <c r="AL84" s="40"/>
      <c r="AM84" s="40"/>
      <c r="AN84" s="40">
        <f t="shared" si="41"/>
        <v>0</v>
      </c>
      <c r="AP84" s="85">
        <v>56963</v>
      </c>
      <c r="AQ84" s="40">
        <v>42944037.049999997</v>
      </c>
      <c r="AR84" s="185" t="s">
        <v>105</v>
      </c>
      <c r="AS84" s="40">
        <v>3750125</v>
      </c>
      <c r="AT84" s="40">
        <v>141683286.59999999</v>
      </c>
      <c r="AU84" s="40"/>
      <c r="AV84" s="40">
        <f t="shared" si="43"/>
        <v>188377448.64999998</v>
      </c>
      <c r="AX84" s="85">
        <v>56963</v>
      </c>
      <c r="AY84" s="40">
        <v>0</v>
      </c>
      <c r="BA84" s="40">
        <v>0</v>
      </c>
      <c r="BB84" s="40">
        <v>0</v>
      </c>
      <c r="BC84" s="40">
        <f t="shared" si="44"/>
        <v>0</v>
      </c>
      <c r="BE84" s="85">
        <v>56963</v>
      </c>
      <c r="BF84" s="40"/>
      <c r="BG84" s="40"/>
      <c r="BH84" s="40"/>
      <c r="BI84" s="40"/>
      <c r="BJ84" s="40">
        <f t="shared" si="45"/>
        <v>0</v>
      </c>
      <c r="BL84" s="85">
        <v>56963</v>
      </c>
      <c r="BN84" s="40"/>
      <c r="BP84" s="40">
        <f t="shared" si="46"/>
        <v>0</v>
      </c>
      <c r="BR84" s="85">
        <v>56963</v>
      </c>
      <c r="BV84" s="40">
        <f t="shared" si="47"/>
        <v>0</v>
      </c>
      <c r="BX84" s="85">
        <v>56963</v>
      </c>
      <c r="BY84" s="40"/>
      <c r="BZ84" s="87"/>
      <c r="CA84" s="40"/>
      <c r="CB84" s="40"/>
      <c r="CC84" s="40">
        <f t="shared" si="34"/>
        <v>0</v>
      </c>
      <c r="CE84" s="85">
        <v>56963</v>
      </c>
      <c r="CG84" s="87"/>
      <c r="CK84" s="85">
        <v>56963</v>
      </c>
      <c r="CL84" s="40"/>
      <c r="CM84" s="87"/>
      <c r="CN84" s="40"/>
      <c r="CP84" s="40">
        <f t="shared" si="48"/>
        <v>0</v>
      </c>
      <c r="CR84" s="85">
        <v>56963</v>
      </c>
      <c r="CS84" s="40"/>
      <c r="CT84" s="87"/>
      <c r="CU84" s="40"/>
      <c r="CV84" s="40">
        <f t="shared" si="49"/>
        <v>0</v>
      </c>
      <c r="CX84" s="85">
        <v>56963</v>
      </c>
      <c r="CZ84" s="87"/>
      <c r="DC84" s="40">
        <f t="shared" si="50"/>
        <v>0</v>
      </c>
      <c r="DE84" s="85">
        <v>56963</v>
      </c>
      <c r="DG84" s="87"/>
      <c r="DJ84" s="40">
        <f t="shared" si="35"/>
        <v>0</v>
      </c>
      <c r="DL84" s="85">
        <v>56963</v>
      </c>
      <c r="DM84" s="67"/>
      <c r="DN84" s="67"/>
      <c r="DO84" s="67"/>
      <c r="DP84" s="67"/>
      <c r="DR84" s="85">
        <v>56963</v>
      </c>
      <c r="DS84" s="67"/>
      <c r="DT84" s="67"/>
      <c r="DU84" s="67"/>
      <c r="DV84" s="40">
        <f t="shared" si="51"/>
        <v>0</v>
      </c>
      <c r="DX84" s="85">
        <v>56963</v>
      </c>
      <c r="DY84" s="67"/>
      <c r="DZ84" s="67"/>
      <c r="EA84" s="67"/>
      <c r="EB84" s="40">
        <f t="shared" si="52"/>
        <v>0</v>
      </c>
      <c r="ED84" s="85">
        <v>56963</v>
      </c>
      <c r="EE84" s="67"/>
      <c r="EF84" s="67"/>
      <c r="EG84" s="67"/>
      <c r="EH84" s="67"/>
      <c r="EI84" s="40">
        <f t="shared" si="53"/>
        <v>0</v>
      </c>
      <c r="EK84" s="85">
        <v>56963</v>
      </c>
      <c r="EL84" s="67"/>
      <c r="EM84" s="67"/>
      <c r="EN84" s="67"/>
      <c r="EO84" s="67"/>
      <c r="EP84" s="40">
        <f t="shared" si="54"/>
        <v>0</v>
      </c>
      <c r="ER84" s="85">
        <v>56963</v>
      </c>
      <c r="ES84" s="67"/>
      <c r="ET84" s="67"/>
      <c r="EU84" s="67"/>
      <c r="EV84" s="67"/>
      <c r="EW84" s="40">
        <f t="shared" si="55"/>
        <v>0</v>
      </c>
      <c r="EY84" s="85">
        <v>56963</v>
      </c>
      <c r="EZ84" s="67"/>
      <c r="FA84" s="67"/>
      <c r="FB84" s="67"/>
      <c r="FC84" s="67"/>
      <c r="FD84" s="40">
        <f t="shared" si="56"/>
        <v>0</v>
      </c>
    </row>
    <row r="85" spans="2:160" x14ac:dyDescent="0.4">
      <c r="F85" s="85">
        <v>57161</v>
      </c>
      <c r="G85" s="85"/>
      <c r="H85" s="85">
        <v>57146</v>
      </c>
      <c r="I85" s="40">
        <f>SUM(Y84:Y85,AA84:AA85,AI84:AI85,AQ84:AQ85,AY84:AY85,BF84:BF85,BM84:BM85,BS84:BS85,BY84:BY85,CF84:CF85,CL84:CL85,CS84:CS85,CY84:CY85,DF84:DF85,DM84:DM85,DS84:DS85,DY84:DY85,EE84:EE85,EL84:EL85,ES84:ES85,EZ84:EZ85)</f>
        <v>69562466.799999997</v>
      </c>
      <c r="J85" s="40">
        <f>SUM(AC84:AC85,AK84:AK85,AS84:AS85,BA84:BA85,BH84:BH85,BO84:BO85,BU84:BU85,CA84:CA85,CH84:CH85,CN84:CN85,CU84:CU85,DA84:DA85,DH84:DH85,DO84:DO85,DU84:DU85,EA84:EA85,EG84:EG85,EN84:EN85,EU84:EU85,FB84:FB85)</f>
        <v>7000250</v>
      </c>
      <c r="K85" s="40">
        <f>SUM(AD84:AD85,AL84:AL85,AT84:AT85,BB84:BB85,BI84:BI85,CB84:CB85,CO84:CO85,DB84:DB85,DI84:DI85,EH84:EH85,EO84:EO85,EV84:EV85,FC84:FC85)</f>
        <v>270677986.60000002</v>
      </c>
      <c r="L85" s="40">
        <f>SUM(AE84:AE85,AM84:AM85,AU84:AU85)</f>
        <v>0</v>
      </c>
      <c r="M85" s="40">
        <f>SUM(I85:L85)</f>
        <v>347240703.40000004</v>
      </c>
      <c r="O85" s="85">
        <v>57161</v>
      </c>
      <c r="P85" s="85"/>
      <c r="Q85" s="85">
        <v>57146</v>
      </c>
      <c r="R85" s="40">
        <f t="shared" si="37"/>
        <v>26618429.75</v>
      </c>
      <c r="S85" s="40">
        <f t="shared" si="38"/>
        <v>3250125</v>
      </c>
      <c r="T85" s="40">
        <f t="shared" si="39"/>
        <v>128994700</v>
      </c>
      <c r="U85" s="40">
        <f t="shared" si="40"/>
        <v>0</v>
      </c>
      <c r="V85" s="40">
        <f t="shared" si="57"/>
        <v>158863254.75</v>
      </c>
      <c r="X85" s="85">
        <v>57146</v>
      </c>
      <c r="Y85" s="40"/>
      <c r="Z85" s="101"/>
      <c r="AA85" s="40"/>
      <c r="AB85" s="101"/>
      <c r="AC85" s="40">
        <f t="shared" si="36"/>
        <v>0</v>
      </c>
      <c r="AD85" s="40"/>
      <c r="AE85" s="40"/>
      <c r="AF85" s="40">
        <f t="shared" si="42"/>
        <v>0</v>
      </c>
      <c r="AH85" s="85">
        <v>57146</v>
      </c>
      <c r="AI85" s="40"/>
      <c r="AJ85" s="40"/>
      <c r="AK85" s="40"/>
      <c r="AL85" s="40"/>
      <c r="AM85" s="40"/>
      <c r="AN85" s="40">
        <f t="shared" si="41"/>
        <v>0</v>
      </c>
      <c r="AP85" s="85">
        <v>57146</v>
      </c>
      <c r="AQ85" s="40">
        <v>1323300</v>
      </c>
      <c r="AR85" s="101">
        <v>5.2499999999999998E-2</v>
      </c>
      <c r="AS85" s="40">
        <v>3250125</v>
      </c>
      <c r="AT85" s="40">
        <v>8420900</v>
      </c>
      <c r="AU85" s="40"/>
      <c r="AV85" s="40">
        <f t="shared" si="43"/>
        <v>12994325</v>
      </c>
      <c r="AX85" s="85">
        <v>57146</v>
      </c>
      <c r="AY85" s="40">
        <v>25295129.75</v>
      </c>
      <c r="AZ85" s="101">
        <v>4.5999999999999999E-2</v>
      </c>
      <c r="BA85" s="40">
        <v>0</v>
      </c>
      <c r="BB85" s="40">
        <v>120573800</v>
      </c>
      <c r="BC85" s="40">
        <f t="shared" si="44"/>
        <v>145868929.75</v>
      </c>
      <c r="BE85" s="85">
        <v>57146</v>
      </c>
      <c r="BF85" s="40"/>
      <c r="BG85" s="40"/>
      <c r="BH85" s="40"/>
      <c r="BI85" s="40"/>
      <c r="BJ85" s="40">
        <f t="shared" si="45"/>
        <v>0</v>
      </c>
      <c r="BL85" s="85">
        <v>57146</v>
      </c>
      <c r="BN85" s="40"/>
      <c r="BP85" s="40">
        <f t="shared" si="46"/>
        <v>0</v>
      </c>
      <c r="BR85" s="85">
        <v>57146</v>
      </c>
      <c r="BV85" s="40">
        <f t="shared" si="47"/>
        <v>0</v>
      </c>
      <c r="BX85" s="85">
        <v>57146</v>
      </c>
      <c r="BY85" s="40"/>
      <c r="BZ85" s="87"/>
      <c r="CA85" s="40"/>
      <c r="CB85" s="40"/>
      <c r="CC85" s="40">
        <f t="shared" si="34"/>
        <v>0</v>
      </c>
      <c r="CE85" s="85">
        <v>57146</v>
      </c>
      <c r="CG85" s="87"/>
      <c r="CK85" s="85">
        <v>57146</v>
      </c>
      <c r="CL85" s="40"/>
      <c r="CM85" s="87"/>
      <c r="CN85" s="40"/>
      <c r="CP85" s="40">
        <f t="shared" si="48"/>
        <v>0</v>
      </c>
      <c r="CR85" s="85">
        <v>57146</v>
      </c>
      <c r="CS85" s="40"/>
      <c r="CT85" s="87"/>
      <c r="CU85" s="40"/>
      <c r="CV85" s="40">
        <f t="shared" si="49"/>
        <v>0</v>
      </c>
      <c r="CX85" s="85">
        <v>57146</v>
      </c>
      <c r="CZ85" s="87"/>
      <c r="DC85" s="40">
        <f t="shared" si="50"/>
        <v>0</v>
      </c>
      <c r="DE85" s="85">
        <v>57146</v>
      </c>
      <c r="DG85" s="87"/>
      <c r="DJ85" s="40">
        <f t="shared" si="35"/>
        <v>0</v>
      </c>
      <c r="DL85" s="85">
        <v>57146</v>
      </c>
      <c r="DM85" s="67"/>
      <c r="DN85" s="67"/>
      <c r="DO85" s="67"/>
      <c r="DP85" s="67"/>
      <c r="DR85" s="85">
        <v>57146</v>
      </c>
      <c r="DS85" s="67"/>
      <c r="DT85" s="67"/>
      <c r="DU85" s="67"/>
      <c r="DV85" s="40">
        <f t="shared" si="51"/>
        <v>0</v>
      </c>
      <c r="DX85" s="85">
        <v>57146</v>
      </c>
      <c r="DY85" s="67"/>
      <c r="DZ85" s="67"/>
      <c r="EA85" s="67"/>
      <c r="EB85" s="40">
        <f t="shared" si="52"/>
        <v>0</v>
      </c>
      <c r="ED85" s="85">
        <v>57146</v>
      </c>
      <c r="EE85" s="67"/>
      <c r="EF85" s="67"/>
      <c r="EG85" s="67"/>
      <c r="EH85" s="67"/>
      <c r="EI85" s="40">
        <f t="shared" si="53"/>
        <v>0</v>
      </c>
      <c r="EK85" s="85">
        <v>57146</v>
      </c>
      <c r="EL85" s="67"/>
      <c r="EM85" s="67"/>
      <c r="EN85" s="67"/>
      <c r="EO85" s="67"/>
      <c r="EP85" s="40">
        <f t="shared" si="54"/>
        <v>0</v>
      </c>
      <c r="ER85" s="85">
        <v>57146</v>
      </c>
      <c r="ES85" s="67"/>
      <c r="ET85" s="67"/>
      <c r="EU85" s="67"/>
      <c r="EV85" s="67"/>
      <c r="EW85" s="40">
        <f t="shared" si="55"/>
        <v>0</v>
      </c>
      <c r="EY85" s="85">
        <v>57146</v>
      </c>
      <c r="EZ85" s="67"/>
      <c r="FA85" s="67"/>
      <c r="FB85" s="67"/>
      <c r="FC85" s="67"/>
      <c r="FD85" s="40">
        <f t="shared" si="56"/>
        <v>0</v>
      </c>
    </row>
    <row r="86" spans="2:160" x14ac:dyDescent="0.4">
      <c r="F86" s="85">
        <v>57345</v>
      </c>
      <c r="G86" s="85"/>
      <c r="H86" s="85">
        <v>57329</v>
      </c>
      <c r="I86" s="40"/>
      <c r="O86" s="85">
        <v>57345</v>
      </c>
      <c r="P86" s="85"/>
      <c r="Q86" s="85">
        <v>57329</v>
      </c>
      <c r="R86" s="40">
        <f t="shared" si="37"/>
        <v>36621670.25</v>
      </c>
      <c r="S86" s="40">
        <f t="shared" si="38"/>
        <v>3250125</v>
      </c>
      <c r="T86" s="40">
        <f t="shared" si="39"/>
        <v>175418329.75</v>
      </c>
      <c r="U86" s="40">
        <f t="shared" si="40"/>
        <v>0</v>
      </c>
      <c r="V86" s="40">
        <f t="shared" si="57"/>
        <v>215290125</v>
      </c>
      <c r="X86" s="85">
        <v>57329</v>
      </c>
      <c r="Y86" s="40"/>
      <c r="Z86" s="101"/>
      <c r="AA86" s="40"/>
      <c r="AB86" s="101"/>
      <c r="AC86" s="40">
        <f t="shared" si="36"/>
        <v>0</v>
      </c>
      <c r="AD86" s="40"/>
      <c r="AE86" s="40"/>
      <c r="AF86" s="40">
        <f t="shared" si="42"/>
        <v>0</v>
      </c>
      <c r="AH86" s="85">
        <v>57329</v>
      </c>
      <c r="AI86" s="40"/>
      <c r="AJ86" s="40"/>
      <c r="AK86" s="40"/>
      <c r="AL86" s="40"/>
      <c r="AM86" s="40"/>
      <c r="AN86" s="40">
        <f t="shared" si="41"/>
        <v>0</v>
      </c>
      <c r="AP86" s="85">
        <v>57329</v>
      </c>
      <c r="AQ86" s="40">
        <v>2588300</v>
      </c>
      <c r="AR86" s="185" t="s">
        <v>105</v>
      </c>
      <c r="AS86" s="40">
        <v>3250125</v>
      </c>
      <c r="AT86" s="40">
        <v>8676700</v>
      </c>
      <c r="AU86" s="40"/>
      <c r="AV86" s="40">
        <f t="shared" si="43"/>
        <v>14515125</v>
      </c>
      <c r="AX86" s="85">
        <v>57329</v>
      </c>
      <c r="AY86" s="40">
        <v>34033370.25</v>
      </c>
      <c r="AZ86" s="101">
        <v>4.5999999999999999E-2</v>
      </c>
      <c r="BA86" s="40">
        <v>0</v>
      </c>
      <c r="BB86" s="40">
        <v>166741629.75</v>
      </c>
      <c r="BC86" s="40">
        <f t="shared" si="44"/>
        <v>200775000</v>
      </c>
      <c r="BE86" s="85">
        <v>57329</v>
      </c>
      <c r="BF86" s="40"/>
      <c r="BG86" s="40"/>
      <c r="BH86" s="40"/>
      <c r="BI86" s="40"/>
      <c r="BJ86" s="40">
        <f t="shared" si="45"/>
        <v>0</v>
      </c>
      <c r="BL86" s="85">
        <v>57329</v>
      </c>
      <c r="BN86" s="40"/>
      <c r="BP86" s="40">
        <f t="shared" si="46"/>
        <v>0</v>
      </c>
      <c r="BR86" s="85">
        <v>57329</v>
      </c>
      <c r="BV86" s="40">
        <f t="shared" si="47"/>
        <v>0</v>
      </c>
      <c r="BX86" s="85">
        <v>57329</v>
      </c>
      <c r="BY86" s="40"/>
      <c r="BZ86" s="87"/>
      <c r="CA86" s="40"/>
      <c r="CB86" s="40"/>
      <c r="CC86" s="40">
        <f t="shared" si="34"/>
        <v>0</v>
      </c>
      <c r="CE86" s="85">
        <v>57329</v>
      </c>
      <c r="CG86" s="87"/>
      <c r="CK86" s="85">
        <v>57329</v>
      </c>
      <c r="CL86" s="40"/>
      <c r="CM86" s="87"/>
      <c r="CN86" s="40"/>
      <c r="CP86" s="40">
        <f t="shared" si="48"/>
        <v>0</v>
      </c>
      <c r="CR86" s="85">
        <v>57329</v>
      </c>
      <c r="CS86" s="40"/>
      <c r="CT86" s="87"/>
      <c r="CU86" s="40"/>
      <c r="CV86" s="40">
        <f t="shared" si="49"/>
        <v>0</v>
      </c>
      <c r="CX86" s="85">
        <v>57329</v>
      </c>
      <c r="CZ86" s="87"/>
      <c r="DC86" s="40">
        <f t="shared" si="50"/>
        <v>0</v>
      </c>
      <c r="DE86" s="85">
        <v>57329</v>
      </c>
      <c r="DG86" s="87"/>
      <c r="DJ86" s="40">
        <f t="shared" si="35"/>
        <v>0</v>
      </c>
      <c r="DL86" s="85">
        <v>57329</v>
      </c>
      <c r="DM86" s="67"/>
      <c r="DN86" s="67"/>
      <c r="DO86" s="67"/>
      <c r="DP86" s="67"/>
      <c r="DR86" s="85">
        <v>57329</v>
      </c>
      <c r="DS86" s="67"/>
      <c r="DT86" s="67"/>
      <c r="DU86" s="67"/>
      <c r="DV86" s="40">
        <f t="shared" si="51"/>
        <v>0</v>
      </c>
      <c r="DX86" s="85">
        <v>57329</v>
      </c>
      <c r="DY86" s="67"/>
      <c r="DZ86" s="67"/>
      <c r="EA86" s="67"/>
      <c r="EB86" s="40">
        <f t="shared" si="52"/>
        <v>0</v>
      </c>
      <c r="ED86" s="85">
        <v>57329</v>
      </c>
      <c r="EE86" s="67"/>
      <c r="EF86" s="67"/>
      <c r="EG86" s="67"/>
      <c r="EH86" s="67"/>
      <c r="EI86" s="40">
        <f t="shared" si="53"/>
        <v>0</v>
      </c>
      <c r="EK86" s="85">
        <v>57329</v>
      </c>
      <c r="EL86" s="67"/>
      <c r="EM86" s="67"/>
      <c r="EN86" s="67"/>
      <c r="EO86" s="67"/>
      <c r="EP86" s="40">
        <f t="shared" si="54"/>
        <v>0</v>
      </c>
      <c r="ER86" s="85">
        <v>57329</v>
      </c>
      <c r="ES86" s="67"/>
      <c r="ET86" s="67"/>
      <c r="EU86" s="67"/>
      <c r="EV86" s="67"/>
      <c r="EW86" s="40">
        <f t="shared" si="55"/>
        <v>0</v>
      </c>
      <c r="EY86" s="85">
        <v>57329</v>
      </c>
      <c r="EZ86" s="67"/>
      <c r="FA86" s="67"/>
      <c r="FB86" s="67"/>
      <c r="FC86" s="67"/>
      <c r="FD86" s="40">
        <f t="shared" si="56"/>
        <v>0</v>
      </c>
    </row>
    <row r="87" spans="2:160" x14ac:dyDescent="0.4">
      <c r="F87" s="85">
        <v>57526</v>
      </c>
      <c r="G87" s="85"/>
      <c r="H87" s="85">
        <v>57511</v>
      </c>
      <c r="I87" s="40">
        <f>SUM(Y86:Y87,AA86:AA87,AI86:AI87,AQ86:AQ87,AY86:AY87,BF86:BF87,BM86:BM87,BS86:BS87,BY86:BY87,CF86:CF87,CL86:CL87,CS86:CS87,CY86:CY87,DF86:DF87,DM86:DM87,DS86:DS87,DY86:DY87,EE86:EE87,EL86:EL87,ES86:ES87,EZ86:EZ87)</f>
        <v>165361670.25</v>
      </c>
      <c r="J87" s="40">
        <f>SUM(AC86:AC87,AK86:AK87,AS86:AS87,BA86:BA87,BH86:BH87,BO86:BO87,BU86:BU87,CA86:CA87,CH86:CH87,CN86:CN87,CU86:CU87,DA86:DA87,DH86:DH87,DO86:DO87,DU86:DU87,EA86:EA87,EG86:EG87,EN86:EN87,EU86:EU87,FB86:FB87)</f>
        <v>6468625</v>
      </c>
      <c r="K87" s="40">
        <f>SUM(AD86:AD87,AL86:AL87,AT86:AT87,BB86:BB87,BI86:BI87,CB86:CB87,CO86:CO87,DB86:DB87,DI86:DI87,EH86:EH87,EO86:EO87,EV86:EV87,FC86:FC87)</f>
        <v>175418329.75</v>
      </c>
      <c r="L87" s="40">
        <f>SUM(AE86:AE87,AM86:AM87,AU86:AU87)</f>
        <v>0</v>
      </c>
      <c r="M87" s="40">
        <f>SUM(I87:L87)</f>
        <v>347248625</v>
      </c>
      <c r="O87" s="85">
        <v>57526</v>
      </c>
      <c r="P87" s="85"/>
      <c r="Q87" s="85">
        <v>57511</v>
      </c>
      <c r="R87" s="40">
        <f t="shared" si="37"/>
        <v>128740000</v>
      </c>
      <c r="S87" s="40">
        <f t="shared" si="38"/>
        <v>3218500</v>
      </c>
      <c r="T87" s="40">
        <f t="shared" si="39"/>
        <v>0</v>
      </c>
      <c r="U87" s="40">
        <f t="shared" si="40"/>
        <v>0</v>
      </c>
      <c r="V87" s="40">
        <f t="shared" si="57"/>
        <v>131958500</v>
      </c>
      <c r="X87" s="85">
        <v>57511</v>
      </c>
      <c r="Y87" s="40"/>
      <c r="Z87" s="101"/>
      <c r="AA87" s="40"/>
      <c r="AB87" s="101"/>
      <c r="AC87" s="40">
        <f t="shared" si="36"/>
        <v>0</v>
      </c>
      <c r="AD87" s="40"/>
      <c r="AE87" s="40"/>
      <c r="AF87" s="40">
        <f t="shared" si="42"/>
        <v>0</v>
      </c>
      <c r="AH87" s="85">
        <v>57511</v>
      </c>
      <c r="AI87" s="40"/>
      <c r="AJ87" s="40"/>
      <c r="AK87" s="40"/>
      <c r="AL87" s="40"/>
      <c r="AM87" s="40"/>
      <c r="AN87" s="40">
        <f t="shared" si="41"/>
        <v>0</v>
      </c>
      <c r="AP87" s="85">
        <v>57511</v>
      </c>
      <c r="AQ87" s="40">
        <v>128740000</v>
      </c>
      <c r="AR87" s="101">
        <v>0.05</v>
      </c>
      <c r="AS87" s="40">
        <v>3218500</v>
      </c>
      <c r="AT87" s="40">
        <v>0</v>
      </c>
      <c r="AU87" s="40"/>
      <c r="AV87" s="40">
        <f t="shared" si="43"/>
        <v>131958500</v>
      </c>
      <c r="AX87" s="85">
        <v>57511</v>
      </c>
      <c r="AY87" s="40">
        <v>0</v>
      </c>
      <c r="BA87" s="40">
        <v>0</v>
      </c>
      <c r="BB87" s="40">
        <v>0</v>
      </c>
      <c r="BC87" s="40">
        <f t="shared" si="44"/>
        <v>0</v>
      </c>
      <c r="BE87" s="85">
        <v>57511</v>
      </c>
      <c r="BF87" s="40"/>
      <c r="BG87" s="40"/>
      <c r="BH87" s="40"/>
      <c r="BI87" s="40"/>
      <c r="BJ87" s="40">
        <f t="shared" si="45"/>
        <v>0</v>
      </c>
      <c r="BL87" s="85">
        <v>57511</v>
      </c>
      <c r="BN87" s="40"/>
      <c r="BP87" s="40">
        <f t="shared" si="46"/>
        <v>0</v>
      </c>
      <c r="BR87" s="85">
        <v>57511</v>
      </c>
      <c r="BV87" s="40">
        <f t="shared" si="47"/>
        <v>0</v>
      </c>
      <c r="BX87" s="85">
        <v>57511</v>
      </c>
      <c r="BY87" s="40"/>
      <c r="BZ87" s="87"/>
      <c r="CA87" s="40"/>
      <c r="CB87" s="40"/>
      <c r="CC87" s="40">
        <f t="shared" si="34"/>
        <v>0</v>
      </c>
      <c r="CE87" s="85">
        <v>57511</v>
      </c>
      <c r="CG87" s="87"/>
      <c r="CK87" s="85">
        <v>57511</v>
      </c>
      <c r="CL87" s="40"/>
      <c r="CM87" s="87"/>
      <c r="CN87" s="40"/>
      <c r="CP87" s="40">
        <f t="shared" si="48"/>
        <v>0</v>
      </c>
      <c r="CR87" s="85">
        <v>57511</v>
      </c>
      <c r="CS87" s="40"/>
      <c r="CT87" s="87"/>
      <c r="CU87" s="40"/>
      <c r="CV87" s="40">
        <f t="shared" si="49"/>
        <v>0</v>
      </c>
      <c r="CX87" s="85">
        <v>57511</v>
      </c>
      <c r="CZ87" s="87"/>
      <c r="DC87" s="40">
        <f t="shared" si="50"/>
        <v>0</v>
      </c>
      <c r="DE87" s="85">
        <v>57511</v>
      </c>
      <c r="DG87" s="87"/>
      <c r="DJ87" s="40">
        <f t="shared" si="35"/>
        <v>0</v>
      </c>
      <c r="DL87" s="85">
        <v>57511</v>
      </c>
      <c r="DM87" s="67"/>
      <c r="DN87" s="67"/>
      <c r="DO87" s="67"/>
      <c r="DP87" s="67"/>
      <c r="DR87" s="85">
        <v>57511</v>
      </c>
      <c r="DS87" s="67"/>
      <c r="DT87" s="67"/>
      <c r="DU87" s="67"/>
      <c r="DV87" s="40">
        <f t="shared" si="51"/>
        <v>0</v>
      </c>
      <c r="DX87" s="85">
        <v>57511</v>
      </c>
      <c r="DY87" s="67"/>
      <c r="DZ87" s="67"/>
      <c r="EA87" s="67"/>
      <c r="EB87" s="40">
        <f t="shared" si="52"/>
        <v>0</v>
      </c>
      <c r="ED87" s="85">
        <v>57511</v>
      </c>
      <c r="EE87" s="67"/>
      <c r="EF87" s="67"/>
      <c r="EG87" s="67"/>
      <c r="EH87" s="67"/>
      <c r="EI87" s="40">
        <f t="shared" si="53"/>
        <v>0</v>
      </c>
      <c r="EK87" s="85">
        <v>57511</v>
      </c>
      <c r="EL87" s="67"/>
      <c r="EM87" s="67"/>
      <c r="EN87" s="67"/>
      <c r="EO87" s="67"/>
      <c r="EP87" s="40">
        <f t="shared" si="54"/>
        <v>0</v>
      </c>
      <c r="ER87" s="85">
        <v>57511</v>
      </c>
      <c r="ES87" s="67"/>
      <c r="ET87" s="67"/>
      <c r="EU87" s="67"/>
      <c r="EV87" s="67"/>
      <c r="EW87" s="40">
        <f t="shared" si="55"/>
        <v>0</v>
      </c>
      <c r="EY87" s="85">
        <v>57511</v>
      </c>
      <c r="EZ87" s="67"/>
      <c r="FA87" s="67"/>
      <c r="FB87" s="67"/>
      <c r="FC87" s="67"/>
      <c r="FD87" s="40">
        <f t="shared" si="56"/>
        <v>0</v>
      </c>
    </row>
    <row r="88" spans="2:160" x14ac:dyDescent="0.4">
      <c r="F88" s="85">
        <v>57710</v>
      </c>
      <c r="G88" s="85"/>
      <c r="H88" s="85">
        <v>57694</v>
      </c>
      <c r="I88" s="40"/>
      <c r="O88" s="85">
        <v>57710</v>
      </c>
      <c r="P88" s="85"/>
      <c r="Q88" s="85">
        <v>57694</v>
      </c>
      <c r="R88" s="40">
        <f t="shared" si="37"/>
        <v>0</v>
      </c>
      <c r="S88" s="40">
        <f t="shared" si="38"/>
        <v>0</v>
      </c>
      <c r="T88" s="40">
        <f t="shared" si="39"/>
        <v>0</v>
      </c>
      <c r="U88" s="40">
        <f t="shared" si="40"/>
        <v>0</v>
      </c>
      <c r="V88" s="40">
        <f t="shared" si="57"/>
        <v>0</v>
      </c>
      <c r="X88" s="85">
        <v>57694</v>
      </c>
      <c r="Y88" s="40"/>
      <c r="Z88" s="101"/>
      <c r="AA88" s="40"/>
      <c r="AB88" s="101"/>
      <c r="AC88" s="40">
        <f t="shared" si="36"/>
        <v>0</v>
      </c>
      <c r="AD88" s="40"/>
      <c r="AE88" s="40"/>
      <c r="AF88" s="40">
        <f t="shared" si="42"/>
        <v>0</v>
      </c>
      <c r="AH88" s="85">
        <v>57694</v>
      </c>
      <c r="AI88" s="40"/>
      <c r="AJ88" s="40"/>
      <c r="AK88" s="40"/>
      <c r="AL88" s="40"/>
      <c r="AM88" s="40"/>
      <c r="AN88" s="40">
        <f t="shared" si="41"/>
        <v>0</v>
      </c>
      <c r="AP88" s="85">
        <v>57694</v>
      </c>
      <c r="AQ88" s="40">
        <v>0</v>
      </c>
      <c r="AR88" s="101"/>
      <c r="AS88" s="40">
        <v>0</v>
      </c>
      <c r="AT88" s="40">
        <v>0</v>
      </c>
      <c r="AU88" s="40"/>
      <c r="AV88" s="40">
        <f t="shared" si="43"/>
        <v>0</v>
      </c>
      <c r="AX88" s="85">
        <v>57694</v>
      </c>
      <c r="AY88" s="40">
        <v>0</v>
      </c>
      <c r="BA88" s="40">
        <v>0</v>
      </c>
      <c r="BB88" s="40">
        <v>0</v>
      </c>
      <c r="BC88" s="40">
        <f t="shared" si="44"/>
        <v>0</v>
      </c>
      <c r="BE88" s="85">
        <v>57694</v>
      </c>
      <c r="BF88" s="40"/>
      <c r="BG88" s="40"/>
      <c r="BH88" s="40"/>
      <c r="BI88" s="40"/>
      <c r="BJ88" s="40">
        <f t="shared" si="45"/>
        <v>0</v>
      </c>
      <c r="BL88" s="85">
        <v>57694</v>
      </c>
      <c r="BN88" s="40"/>
      <c r="BP88" s="40">
        <f t="shared" si="46"/>
        <v>0</v>
      </c>
      <c r="BR88" s="85">
        <v>57694</v>
      </c>
      <c r="BV88" s="40">
        <f t="shared" si="47"/>
        <v>0</v>
      </c>
      <c r="BX88" s="85">
        <v>57694</v>
      </c>
      <c r="BY88" s="40"/>
      <c r="BZ88" s="87"/>
      <c r="CA88" s="40"/>
      <c r="CB88" s="40"/>
      <c r="CC88" s="40">
        <f t="shared" si="34"/>
        <v>0</v>
      </c>
      <c r="CE88" s="85">
        <v>57694</v>
      </c>
      <c r="CG88" s="87"/>
      <c r="CK88" s="85">
        <v>57694</v>
      </c>
      <c r="CL88" s="40"/>
      <c r="CM88" s="87"/>
      <c r="CN88" s="40"/>
      <c r="CP88" s="40">
        <f t="shared" si="48"/>
        <v>0</v>
      </c>
      <c r="CR88" s="85">
        <v>57694</v>
      </c>
      <c r="CS88" s="40"/>
      <c r="CT88" s="87"/>
      <c r="CU88" s="40"/>
      <c r="CV88" s="40">
        <f t="shared" si="49"/>
        <v>0</v>
      </c>
      <c r="CX88" s="85">
        <v>57694</v>
      </c>
      <c r="CZ88" s="87"/>
      <c r="DC88" s="40">
        <f t="shared" si="50"/>
        <v>0</v>
      </c>
      <c r="DE88" s="85">
        <v>57694</v>
      </c>
      <c r="DG88" s="87"/>
      <c r="DJ88" s="40">
        <f t="shared" si="35"/>
        <v>0</v>
      </c>
      <c r="DL88" s="85">
        <v>57694</v>
      </c>
      <c r="DM88" s="67"/>
      <c r="DN88" s="67"/>
      <c r="DO88" s="67"/>
      <c r="DP88" s="67"/>
      <c r="DR88" s="85">
        <v>57694</v>
      </c>
      <c r="DS88" s="67"/>
      <c r="DT88" s="67"/>
      <c r="DU88" s="67"/>
      <c r="DV88" s="40">
        <f t="shared" si="51"/>
        <v>0</v>
      </c>
      <c r="DX88" s="85">
        <v>57694</v>
      </c>
      <c r="DY88" s="67"/>
      <c r="DZ88" s="67"/>
      <c r="EA88" s="67"/>
      <c r="EB88" s="40">
        <f t="shared" si="52"/>
        <v>0</v>
      </c>
      <c r="ED88" s="85">
        <v>57694</v>
      </c>
      <c r="EE88" s="67"/>
      <c r="EF88" s="67"/>
      <c r="EG88" s="67"/>
      <c r="EH88" s="67"/>
      <c r="EI88" s="40">
        <f t="shared" si="53"/>
        <v>0</v>
      </c>
      <c r="EK88" s="85">
        <v>57694</v>
      </c>
      <c r="EL88" s="67"/>
      <c r="EM88" s="67"/>
      <c r="EN88" s="67"/>
      <c r="EO88" s="67"/>
      <c r="EP88" s="40">
        <f t="shared" si="54"/>
        <v>0</v>
      </c>
      <c r="ER88" s="85">
        <v>57694</v>
      </c>
      <c r="ES88" s="67"/>
      <c r="ET88" s="67"/>
      <c r="EU88" s="67"/>
      <c r="EV88" s="67"/>
      <c r="EW88" s="40">
        <f t="shared" si="55"/>
        <v>0</v>
      </c>
      <c r="EY88" s="85">
        <v>57694</v>
      </c>
      <c r="EZ88" s="67"/>
      <c r="FA88" s="67"/>
      <c r="FB88" s="67"/>
      <c r="FC88" s="67"/>
      <c r="FD88" s="40">
        <f t="shared" si="56"/>
        <v>0</v>
      </c>
    </row>
    <row r="89" spans="2:160" x14ac:dyDescent="0.4">
      <c r="F89" s="85">
        <v>57891</v>
      </c>
      <c r="G89" s="85"/>
      <c r="H89" s="85">
        <v>57876</v>
      </c>
      <c r="I89" s="40">
        <f>SUM(Y88:Y89,AA88:AA89,AI88:AI89,AQ88:AQ89,AY88:AY89,BF88:BF89,BM88:BM89,BS88:BS89,BY88:BY89,CF88:CF89,CL88:CL89,CS88:CS89,CY88:CY89,DF88:DF89,DM88:DM89,DS88:DS89,DY88:DY89,EE88:EE89,EL88:EL89,ES88:ES89,EZ88:EZ89)</f>
        <v>0</v>
      </c>
      <c r="J89" s="40">
        <f>SUM(AC88:AC89,AK88:AK89,AS88:AS89,BA88:BA89,BH88:BH89,BO88:BO89,BU88:BU89,CA88:CA89,CH88:CH89,CN88:CN89,CU88:CU89,DA88:DA89,DH88:DH89,DO88:DO89,DU88:DU89,EA88:EA89,EG88:EG89,EN88:EN89,EU88:EU89,FB88:FB89)</f>
        <v>0</v>
      </c>
      <c r="K89" s="40">
        <f>SUM(AD88:AD89,AL88:AL89,AT88:AT89,BB88:BB89,BI88:BI89,CB88:CB89,CO88:CO89,DB88:DB89,DI88:DI89,EH88:EH89,EO88:EO89,EV88:EV89,FC88:FC89)</f>
        <v>0</v>
      </c>
      <c r="L89" s="40">
        <f>SUM(AE88:AE89,AM88:AM89,AU88:AU89)</f>
        <v>0</v>
      </c>
      <c r="M89" s="40">
        <f>SUM(I89:L89)</f>
        <v>0</v>
      </c>
      <c r="O89" s="85">
        <v>57891</v>
      </c>
      <c r="P89" s="85"/>
      <c r="Q89" s="85">
        <v>57876</v>
      </c>
      <c r="R89" s="40">
        <f t="shared" si="37"/>
        <v>0</v>
      </c>
      <c r="S89" s="40">
        <f t="shared" si="38"/>
        <v>0</v>
      </c>
      <c r="T89" s="40">
        <f t="shared" si="39"/>
        <v>0</v>
      </c>
      <c r="U89" s="40">
        <f t="shared" si="40"/>
        <v>0</v>
      </c>
      <c r="V89" s="40">
        <f t="shared" si="57"/>
        <v>0</v>
      </c>
      <c r="X89" s="85">
        <v>57876</v>
      </c>
      <c r="Y89" s="40"/>
      <c r="Z89" s="101"/>
      <c r="AA89" s="40"/>
      <c r="AB89" s="101"/>
      <c r="AC89" s="40">
        <f t="shared" si="36"/>
        <v>0</v>
      </c>
      <c r="AD89" s="40"/>
      <c r="AE89" s="40"/>
      <c r="AF89" s="40">
        <f t="shared" si="42"/>
        <v>0</v>
      </c>
      <c r="AH89" s="85">
        <v>57876</v>
      </c>
      <c r="AI89" s="40"/>
      <c r="AJ89" s="40"/>
      <c r="AK89" s="40"/>
      <c r="AL89" s="40"/>
      <c r="AM89" s="40"/>
      <c r="AN89" s="40">
        <f t="shared" si="41"/>
        <v>0</v>
      </c>
      <c r="AP89" s="85">
        <v>57876</v>
      </c>
      <c r="AQ89" s="40">
        <v>0</v>
      </c>
      <c r="AR89" s="101"/>
      <c r="AS89" s="40">
        <v>0</v>
      </c>
      <c r="AT89" s="40">
        <v>0</v>
      </c>
      <c r="AU89" s="40"/>
      <c r="AV89" s="40">
        <f t="shared" si="43"/>
        <v>0</v>
      </c>
      <c r="AX89" s="85">
        <v>57876</v>
      </c>
      <c r="AY89" s="40">
        <v>0</v>
      </c>
      <c r="BA89" s="40">
        <v>0</v>
      </c>
      <c r="BB89" s="40">
        <v>0</v>
      </c>
      <c r="BC89" s="40">
        <f t="shared" si="44"/>
        <v>0</v>
      </c>
      <c r="BE89" s="85">
        <v>57876</v>
      </c>
      <c r="BF89" s="40"/>
      <c r="BG89" s="40"/>
      <c r="BH89" s="40"/>
      <c r="BI89" s="40"/>
      <c r="BJ89" s="40">
        <f t="shared" si="45"/>
        <v>0</v>
      </c>
      <c r="BL89" s="85">
        <v>57876</v>
      </c>
      <c r="BN89" s="40"/>
      <c r="BP89" s="40">
        <f t="shared" si="46"/>
        <v>0</v>
      </c>
      <c r="BR89" s="85">
        <v>57876</v>
      </c>
      <c r="BV89" s="40">
        <f t="shared" si="47"/>
        <v>0</v>
      </c>
      <c r="BX89" s="85">
        <v>57876</v>
      </c>
      <c r="BY89" s="40"/>
      <c r="BZ89" s="87"/>
      <c r="CA89" s="40"/>
      <c r="CB89" s="40"/>
      <c r="CC89" s="40">
        <f t="shared" si="34"/>
        <v>0</v>
      </c>
      <c r="CE89" s="85">
        <v>57876</v>
      </c>
      <c r="CG89" s="87"/>
      <c r="CK89" s="85">
        <v>57876</v>
      </c>
      <c r="CL89" s="40"/>
      <c r="CM89" s="87"/>
      <c r="CN89" s="40"/>
      <c r="CP89" s="40">
        <f t="shared" si="48"/>
        <v>0</v>
      </c>
      <c r="CR89" s="85">
        <v>57876</v>
      </c>
      <c r="CS89" s="40"/>
      <c r="CT89" s="87"/>
      <c r="CU89" s="40"/>
      <c r="CV89" s="40">
        <f t="shared" si="49"/>
        <v>0</v>
      </c>
      <c r="CX89" s="85">
        <v>57876</v>
      </c>
      <c r="CZ89" s="87"/>
      <c r="DC89" s="40">
        <f t="shared" si="50"/>
        <v>0</v>
      </c>
      <c r="DE89" s="85">
        <v>57876</v>
      </c>
      <c r="DG89" s="87"/>
      <c r="DJ89" s="40">
        <f t="shared" si="35"/>
        <v>0</v>
      </c>
      <c r="DL89" s="85">
        <v>57876</v>
      </c>
      <c r="DM89" s="67"/>
      <c r="DN89" s="67"/>
      <c r="DO89" s="67"/>
      <c r="DP89" s="67"/>
      <c r="DR89" s="85">
        <v>57876</v>
      </c>
      <c r="DS89" s="67"/>
      <c r="DT89" s="67"/>
      <c r="DU89" s="67"/>
      <c r="DV89" s="40">
        <f t="shared" si="51"/>
        <v>0</v>
      </c>
      <c r="DX89" s="85">
        <v>57876</v>
      </c>
      <c r="DY89" s="67"/>
      <c r="DZ89" s="67"/>
      <c r="EA89" s="67"/>
      <c r="EB89" s="40">
        <f t="shared" si="52"/>
        <v>0</v>
      </c>
      <c r="ED89" s="85">
        <v>57876</v>
      </c>
      <c r="EE89" s="67"/>
      <c r="EF89" s="67"/>
      <c r="EG89" s="67"/>
      <c r="EH89" s="67"/>
      <c r="EI89" s="40">
        <f t="shared" si="53"/>
        <v>0</v>
      </c>
      <c r="EK89" s="85">
        <v>57876</v>
      </c>
      <c r="EL89" s="67"/>
      <c r="EM89" s="67"/>
      <c r="EN89" s="67"/>
      <c r="EO89" s="67"/>
      <c r="EP89" s="40">
        <f t="shared" si="54"/>
        <v>0</v>
      </c>
      <c r="ER89" s="85">
        <v>57876</v>
      </c>
      <c r="ES89" s="67"/>
      <c r="ET89" s="67"/>
      <c r="EU89" s="67"/>
      <c r="EV89" s="67"/>
      <c r="EW89" s="40">
        <f t="shared" si="55"/>
        <v>0</v>
      </c>
      <c r="EY89" s="85">
        <v>57876</v>
      </c>
      <c r="EZ89" s="67"/>
      <c r="FA89" s="67"/>
      <c r="FB89" s="67"/>
      <c r="FC89" s="67"/>
      <c r="FD89" s="40">
        <f t="shared" si="56"/>
        <v>0</v>
      </c>
    </row>
    <row r="90" spans="2:160" x14ac:dyDescent="0.4">
      <c r="F90" s="85">
        <v>58075</v>
      </c>
      <c r="G90" s="85"/>
      <c r="H90" s="85">
        <v>58059</v>
      </c>
      <c r="I90" s="40"/>
      <c r="O90" s="85">
        <v>58075</v>
      </c>
      <c r="P90" s="85"/>
      <c r="Q90" s="85">
        <v>58059</v>
      </c>
      <c r="R90" s="40">
        <f t="shared" si="37"/>
        <v>0</v>
      </c>
      <c r="S90" s="40">
        <f t="shared" si="38"/>
        <v>0</v>
      </c>
      <c r="T90" s="40">
        <f t="shared" si="39"/>
        <v>0</v>
      </c>
      <c r="U90" s="40">
        <f t="shared" si="40"/>
        <v>0</v>
      </c>
      <c r="V90" s="40">
        <f t="shared" si="57"/>
        <v>0</v>
      </c>
      <c r="X90" s="85">
        <v>58059</v>
      </c>
      <c r="Y90" s="40"/>
      <c r="Z90" s="101"/>
      <c r="AA90" s="40"/>
      <c r="AB90" s="101"/>
      <c r="AC90" s="40">
        <f t="shared" si="36"/>
        <v>0</v>
      </c>
      <c r="AD90" s="40"/>
      <c r="AE90" s="40"/>
      <c r="AF90" s="40">
        <f t="shared" si="42"/>
        <v>0</v>
      </c>
      <c r="AH90" s="85">
        <v>58059</v>
      </c>
      <c r="AI90" s="40"/>
      <c r="AJ90" s="40"/>
      <c r="AK90" s="40"/>
      <c r="AL90" s="40"/>
      <c r="AM90" s="40"/>
      <c r="AN90" s="40">
        <f t="shared" si="41"/>
        <v>0</v>
      </c>
      <c r="AP90" s="85">
        <v>58059</v>
      </c>
      <c r="AQ90" s="40">
        <v>0</v>
      </c>
      <c r="AR90" s="101"/>
      <c r="AS90" s="40">
        <v>0</v>
      </c>
      <c r="AT90" s="40">
        <v>0</v>
      </c>
      <c r="AU90" s="40"/>
      <c r="AV90" s="40">
        <f t="shared" si="43"/>
        <v>0</v>
      </c>
      <c r="AX90" s="85">
        <v>58059</v>
      </c>
      <c r="AY90" s="40">
        <v>0</v>
      </c>
      <c r="BA90" s="40">
        <v>0</v>
      </c>
      <c r="BB90" s="40">
        <v>0</v>
      </c>
      <c r="BC90" s="40">
        <f t="shared" si="44"/>
        <v>0</v>
      </c>
      <c r="BE90" s="85">
        <v>58059</v>
      </c>
      <c r="BF90" s="40"/>
      <c r="BG90" s="40"/>
      <c r="BH90" s="40"/>
      <c r="BI90" s="40"/>
      <c r="BJ90" s="40">
        <f t="shared" si="45"/>
        <v>0</v>
      </c>
      <c r="BL90" s="85">
        <v>58059</v>
      </c>
      <c r="BN90" s="40"/>
      <c r="BP90" s="40">
        <f t="shared" si="46"/>
        <v>0</v>
      </c>
      <c r="BR90" s="85">
        <v>58059</v>
      </c>
      <c r="BV90" s="40">
        <f t="shared" si="47"/>
        <v>0</v>
      </c>
      <c r="BX90" s="85">
        <v>58059</v>
      </c>
      <c r="BY90" s="40"/>
      <c r="BZ90" s="87"/>
      <c r="CA90" s="40"/>
      <c r="CB90" s="40"/>
      <c r="CC90" s="40">
        <f t="shared" si="34"/>
        <v>0</v>
      </c>
      <c r="CE90" s="85">
        <v>58059</v>
      </c>
      <c r="CG90" s="87"/>
      <c r="CK90" s="85">
        <v>58059</v>
      </c>
      <c r="CL90" s="40"/>
      <c r="CM90" s="87"/>
      <c r="CN90" s="40"/>
      <c r="CP90" s="40">
        <f t="shared" si="48"/>
        <v>0</v>
      </c>
      <c r="CR90" s="85">
        <v>58059</v>
      </c>
      <c r="CS90" s="40"/>
      <c r="CT90" s="87"/>
      <c r="CU90" s="40"/>
      <c r="CV90" s="40">
        <f t="shared" si="49"/>
        <v>0</v>
      </c>
      <c r="CX90" s="85">
        <v>58059</v>
      </c>
      <c r="CZ90" s="87"/>
      <c r="DC90" s="40">
        <f t="shared" si="50"/>
        <v>0</v>
      </c>
      <c r="DE90" s="85">
        <v>58059</v>
      </c>
      <c r="DG90" s="87"/>
      <c r="DJ90" s="40">
        <f t="shared" si="35"/>
        <v>0</v>
      </c>
      <c r="DL90" s="85">
        <v>58059</v>
      </c>
      <c r="DM90" s="67"/>
      <c r="DN90" s="67"/>
      <c r="DO90" s="67"/>
      <c r="DP90" s="67"/>
      <c r="DR90" s="85">
        <v>58059</v>
      </c>
      <c r="DS90" s="67"/>
      <c r="DT90" s="67"/>
      <c r="DU90" s="67"/>
      <c r="DV90" s="40">
        <f t="shared" si="51"/>
        <v>0</v>
      </c>
      <c r="DX90" s="85">
        <v>58059</v>
      </c>
      <c r="DY90" s="67"/>
      <c r="DZ90" s="67"/>
      <c r="EA90" s="67"/>
      <c r="EB90" s="40">
        <f t="shared" si="52"/>
        <v>0</v>
      </c>
      <c r="ED90" s="85">
        <v>58059</v>
      </c>
      <c r="EE90" s="67"/>
      <c r="EF90" s="67"/>
      <c r="EG90" s="67"/>
      <c r="EH90" s="67"/>
      <c r="EI90" s="40">
        <f t="shared" si="53"/>
        <v>0</v>
      </c>
      <c r="EK90" s="85">
        <v>58059</v>
      </c>
      <c r="EL90" s="67"/>
      <c r="EM90" s="67"/>
      <c r="EN90" s="67"/>
      <c r="EO90" s="67"/>
      <c r="EP90" s="40">
        <f t="shared" si="54"/>
        <v>0</v>
      </c>
      <c r="ER90" s="85">
        <v>58059</v>
      </c>
      <c r="ES90" s="67"/>
      <c r="ET90" s="67"/>
      <c r="EU90" s="67"/>
      <c r="EV90" s="67"/>
      <c r="EW90" s="40">
        <f t="shared" si="55"/>
        <v>0</v>
      </c>
      <c r="EY90" s="85">
        <v>58059</v>
      </c>
      <c r="EZ90" s="67"/>
      <c r="FA90" s="67"/>
      <c r="FB90" s="67"/>
      <c r="FC90" s="67"/>
      <c r="FD90" s="40">
        <f t="shared" si="56"/>
        <v>0</v>
      </c>
    </row>
    <row r="91" spans="2:160" x14ac:dyDescent="0.4">
      <c r="F91" s="85">
        <v>58256</v>
      </c>
      <c r="G91" s="85"/>
      <c r="H91" s="85">
        <v>58241</v>
      </c>
      <c r="I91" s="40">
        <f>SUM(Y90:Y91,AA90:AA91,AI90:AI91,AQ90:AQ91,AY90:AY91,BF90:BF91,BM90:BM91,BS90:BS91,BY90:BY91,CF90:CF91,CL90:CL91,CS90:CS91,CY90:CY91,DF90:DF91,DM90:DM91,DS90:DS91,DY90:DY91,EE90:EE91,EL90:EL91,ES90:ES91,EZ90:EZ91)</f>
        <v>0</v>
      </c>
      <c r="J91" s="40">
        <f>SUM(AC90:AC91,AK90:AK91,AS90:AS91,BA90:BA91,BH90:BH91,BO90:BO91,BU90:BU91,CA90:CA91,CH90:CH91,CN90:CN91,CU90:CU91,DA90:DA91,DH90:DH91,DO90:DO91,DU90:DU91,EA90:EA91,EG90:EG91,EN90:EN91,EU90:EU91,FB90:FB91)</f>
        <v>0</v>
      </c>
      <c r="K91" s="40">
        <f>SUM(AD90:AD91,AL90:AL91,AT90:AT91,BB90:BB91,BI90:BI91,CB90:CB91,CO90:CO91,DB90:DB91,DI90:DI91,EH90:EH91,EO90:EO91,EV90:EV91,FC90:FC91)</f>
        <v>0</v>
      </c>
      <c r="L91" s="40">
        <f>SUM(AE90:AE91,AM90:AM91,AU90:AU91)</f>
        <v>0</v>
      </c>
      <c r="M91" s="40">
        <f>SUM(I91:L91)</f>
        <v>0</v>
      </c>
      <c r="O91" s="85">
        <v>58256</v>
      </c>
      <c r="P91" s="85"/>
      <c r="Q91" s="85">
        <v>58241</v>
      </c>
      <c r="R91" s="40">
        <f t="shared" si="37"/>
        <v>0</v>
      </c>
      <c r="S91" s="40">
        <f t="shared" si="38"/>
        <v>0</v>
      </c>
      <c r="T91" s="40">
        <f t="shared" si="39"/>
        <v>0</v>
      </c>
      <c r="U91" s="40">
        <f t="shared" si="40"/>
        <v>0</v>
      </c>
      <c r="V91" s="40">
        <f t="shared" si="57"/>
        <v>0</v>
      </c>
      <c r="X91" s="85">
        <v>58241</v>
      </c>
      <c r="Y91" s="40"/>
      <c r="Z91" s="101"/>
      <c r="AA91" s="40"/>
      <c r="AB91" s="101"/>
      <c r="AC91" s="40">
        <f t="shared" si="36"/>
        <v>0</v>
      </c>
      <c r="AD91" s="40"/>
      <c r="AE91" s="40"/>
      <c r="AF91" s="40">
        <f t="shared" si="42"/>
        <v>0</v>
      </c>
      <c r="AH91" s="85">
        <v>58241</v>
      </c>
      <c r="AI91" s="40"/>
      <c r="AJ91" s="40"/>
      <c r="AK91" s="40"/>
      <c r="AL91" s="40"/>
      <c r="AM91" s="40"/>
      <c r="AN91" s="40">
        <f t="shared" si="41"/>
        <v>0</v>
      </c>
      <c r="AP91" s="85">
        <v>58241</v>
      </c>
      <c r="AQ91" s="40">
        <v>0</v>
      </c>
      <c r="AR91" s="101"/>
      <c r="AS91" s="40">
        <v>0</v>
      </c>
      <c r="AT91" s="40">
        <v>0</v>
      </c>
      <c r="AU91" s="40"/>
      <c r="AV91" s="40">
        <f t="shared" si="43"/>
        <v>0</v>
      </c>
      <c r="AX91" s="85">
        <v>58241</v>
      </c>
      <c r="AY91" s="40">
        <v>0</v>
      </c>
      <c r="BA91" s="40">
        <v>0</v>
      </c>
      <c r="BB91" s="40">
        <v>0</v>
      </c>
      <c r="BC91" s="40">
        <f t="shared" si="44"/>
        <v>0</v>
      </c>
      <c r="BE91" s="85">
        <v>58241</v>
      </c>
      <c r="BF91" s="40"/>
      <c r="BG91" s="40"/>
      <c r="BH91" s="40"/>
      <c r="BI91" s="40"/>
      <c r="BJ91" s="40">
        <f t="shared" si="45"/>
        <v>0</v>
      </c>
      <c r="BL91" s="85">
        <v>58241</v>
      </c>
      <c r="BN91" s="40"/>
      <c r="BP91" s="40">
        <f t="shared" si="46"/>
        <v>0</v>
      </c>
      <c r="BR91" s="85">
        <v>58241</v>
      </c>
      <c r="BV91" s="40">
        <f t="shared" si="47"/>
        <v>0</v>
      </c>
      <c r="BX91" s="85">
        <v>58241</v>
      </c>
      <c r="BY91" s="40"/>
      <c r="BZ91" s="87"/>
      <c r="CA91" s="40"/>
      <c r="CB91" s="40"/>
      <c r="CC91" s="40">
        <f t="shared" si="34"/>
        <v>0</v>
      </c>
      <c r="CE91" s="85">
        <v>58241</v>
      </c>
      <c r="CG91" s="87"/>
      <c r="CK91" s="85">
        <v>58241</v>
      </c>
      <c r="CL91" s="40"/>
      <c r="CM91" s="87"/>
      <c r="CN91" s="40"/>
      <c r="CP91" s="40">
        <f t="shared" si="48"/>
        <v>0</v>
      </c>
      <c r="CR91" s="85">
        <v>58241</v>
      </c>
      <c r="CS91" s="40"/>
      <c r="CT91" s="87"/>
      <c r="CU91" s="40"/>
      <c r="CV91" s="40">
        <f t="shared" si="49"/>
        <v>0</v>
      </c>
      <c r="CX91" s="85">
        <v>58241</v>
      </c>
      <c r="CZ91" s="87"/>
      <c r="DC91" s="40">
        <f t="shared" si="50"/>
        <v>0</v>
      </c>
      <c r="DE91" s="85">
        <v>58241</v>
      </c>
      <c r="DG91" s="87"/>
      <c r="DJ91" s="40">
        <f t="shared" si="35"/>
        <v>0</v>
      </c>
      <c r="DL91" s="85">
        <v>58241</v>
      </c>
      <c r="DM91" s="67"/>
      <c r="DN91" s="67"/>
      <c r="DO91" s="67"/>
      <c r="DP91" s="67"/>
      <c r="DR91" s="85">
        <v>58241</v>
      </c>
      <c r="DS91" s="67"/>
      <c r="DT91" s="67"/>
      <c r="DU91" s="67"/>
      <c r="DV91" s="40">
        <f t="shared" si="51"/>
        <v>0</v>
      </c>
      <c r="DX91" s="85">
        <v>58241</v>
      </c>
      <c r="DY91" s="67"/>
      <c r="DZ91" s="67"/>
      <c r="EA91" s="67"/>
      <c r="EB91" s="40">
        <f t="shared" si="52"/>
        <v>0</v>
      </c>
      <c r="ED91" s="85">
        <v>58241</v>
      </c>
      <c r="EE91" s="67"/>
      <c r="EF91" s="67"/>
      <c r="EG91" s="67"/>
      <c r="EH91" s="67"/>
      <c r="EI91" s="40">
        <f t="shared" si="53"/>
        <v>0</v>
      </c>
      <c r="EK91" s="85">
        <v>58241</v>
      </c>
      <c r="EL91" s="67"/>
      <c r="EM91" s="67"/>
      <c r="EN91" s="67"/>
      <c r="EO91" s="67"/>
      <c r="EP91" s="40">
        <f t="shared" si="54"/>
        <v>0</v>
      </c>
      <c r="ER91" s="85">
        <v>58241</v>
      </c>
      <c r="ES91" s="67"/>
      <c r="ET91" s="67"/>
      <c r="EU91" s="67"/>
      <c r="EV91" s="67"/>
      <c r="EW91" s="40">
        <f t="shared" si="55"/>
        <v>0</v>
      </c>
      <c r="EY91" s="85">
        <v>58241</v>
      </c>
      <c r="EZ91" s="67"/>
      <c r="FA91" s="67"/>
      <c r="FB91" s="67"/>
      <c r="FC91" s="67"/>
      <c r="FD91" s="40">
        <f t="shared" si="56"/>
        <v>0</v>
      </c>
    </row>
    <row r="92" spans="2:160" x14ac:dyDescent="0.4">
      <c r="F92" s="85">
        <v>58440</v>
      </c>
      <c r="G92" s="85"/>
      <c r="H92" s="85">
        <v>58424</v>
      </c>
      <c r="I92" s="40"/>
      <c r="O92" s="85">
        <v>58440</v>
      </c>
      <c r="P92" s="85"/>
      <c r="Q92" s="85">
        <v>58424</v>
      </c>
      <c r="R92" s="40">
        <f t="shared" si="37"/>
        <v>0</v>
      </c>
      <c r="S92" s="40">
        <f t="shared" si="38"/>
        <v>0</v>
      </c>
      <c r="T92" s="40">
        <f t="shared" si="39"/>
        <v>0</v>
      </c>
      <c r="U92" s="40">
        <f t="shared" si="40"/>
        <v>0</v>
      </c>
      <c r="V92" s="40">
        <f t="shared" si="57"/>
        <v>0</v>
      </c>
      <c r="X92" s="85">
        <v>58424</v>
      </c>
      <c r="Y92" s="40"/>
      <c r="Z92" s="101"/>
      <c r="AA92" s="40"/>
      <c r="AB92" s="101"/>
      <c r="AC92" s="40">
        <f t="shared" si="36"/>
        <v>0</v>
      </c>
      <c r="AD92" s="40"/>
      <c r="AE92" s="40"/>
      <c r="AF92" s="40">
        <f t="shared" si="42"/>
        <v>0</v>
      </c>
      <c r="AH92" s="85">
        <v>58424</v>
      </c>
      <c r="AI92" s="40"/>
      <c r="AJ92" s="40"/>
      <c r="AK92" s="40"/>
      <c r="AL92" s="40"/>
      <c r="AM92" s="40"/>
      <c r="AN92" s="40">
        <f t="shared" si="41"/>
        <v>0</v>
      </c>
      <c r="AP92" s="85">
        <v>58424</v>
      </c>
      <c r="AQ92" s="40">
        <v>0</v>
      </c>
      <c r="AR92" s="101"/>
      <c r="AS92" s="40">
        <v>0</v>
      </c>
      <c r="AT92" s="40">
        <v>0</v>
      </c>
      <c r="AU92" s="40"/>
      <c r="AV92" s="40">
        <f t="shared" si="43"/>
        <v>0</v>
      </c>
      <c r="AX92" s="85">
        <v>58424</v>
      </c>
      <c r="AY92" s="40">
        <v>0</v>
      </c>
      <c r="BA92" s="40">
        <v>0</v>
      </c>
      <c r="BB92" s="40">
        <v>0</v>
      </c>
      <c r="BC92" s="40">
        <f t="shared" si="44"/>
        <v>0</v>
      </c>
      <c r="BE92" s="85">
        <v>58424</v>
      </c>
      <c r="BF92" s="40"/>
      <c r="BG92" s="40"/>
      <c r="BH92" s="40"/>
      <c r="BI92" s="40"/>
      <c r="BJ92" s="40">
        <f t="shared" si="45"/>
        <v>0</v>
      </c>
      <c r="BL92" s="85">
        <v>58424</v>
      </c>
      <c r="BN92" s="40"/>
      <c r="BP92" s="40">
        <f t="shared" si="46"/>
        <v>0</v>
      </c>
      <c r="BR92" s="85">
        <v>58424</v>
      </c>
      <c r="BV92" s="40">
        <f t="shared" si="47"/>
        <v>0</v>
      </c>
      <c r="BX92" s="85">
        <v>58424</v>
      </c>
      <c r="BY92" s="40"/>
      <c r="BZ92" s="87"/>
      <c r="CA92" s="40"/>
      <c r="CB92" s="40"/>
      <c r="CC92" s="40">
        <f t="shared" si="34"/>
        <v>0</v>
      </c>
      <c r="CE92" s="85">
        <v>58424</v>
      </c>
      <c r="CG92" s="87"/>
      <c r="CK92" s="85">
        <v>58424</v>
      </c>
      <c r="CL92" s="40"/>
      <c r="CM92" s="87"/>
      <c r="CN92" s="40"/>
      <c r="CP92" s="40">
        <f t="shared" si="48"/>
        <v>0</v>
      </c>
      <c r="CR92" s="85">
        <v>58424</v>
      </c>
      <c r="CS92" s="40"/>
      <c r="CT92" s="87"/>
      <c r="CU92" s="40"/>
      <c r="CV92" s="40">
        <f t="shared" si="49"/>
        <v>0</v>
      </c>
      <c r="CX92" s="85">
        <v>58424</v>
      </c>
      <c r="CZ92" s="87"/>
      <c r="DC92" s="40">
        <f t="shared" si="50"/>
        <v>0</v>
      </c>
      <c r="DE92" s="85">
        <v>58424</v>
      </c>
      <c r="DG92" s="87"/>
      <c r="DJ92" s="40">
        <f t="shared" si="35"/>
        <v>0</v>
      </c>
      <c r="DL92" s="85">
        <v>58424</v>
      </c>
      <c r="DM92" s="67"/>
      <c r="DN92" s="67"/>
      <c r="DO92" s="67"/>
      <c r="DP92" s="67"/>
      <c r="DR92" s="85">
        <v>58424</v>
      </c>
      <c r="DS92" s="67"/>
      <c r="DT92" s="67"/>
      <c r="DU92" s="67"/>
      <c r="DV92" s="40">
        <f t="shared" si="51"/>
        <v>0</v>
      </c>
      <c r="DX92" s="85">
        <v>58424</v>
      </c>
      <c r="DY92" s="67"/>
      <c r="DZ92" s="67"/>
      <c r="EA92" s="67"/>
      <c r="EB92" s="40">
        <f t="shared" si="52"/>
        <v>0</v>
      </c>
      <c r="ED92" s="85">
        <v>58424</v>
      </c>
      <c r="EE92" s="67"/>
      <c r="EF92" s="67"/>
      <c r="EG92" s="67"/>
      <c r="EH92" s="67"/>
      <c r="EI92" s="40">
        <f t="shared" si="53"/>
        <v>0</v>
      </c>
      <c r="EK92" s="85">
        <v>58424</v>
      </c>
      <c r="EL92" s="67"/>
      <c r="EM92" s="67"/>
      <c r="EN92" s="67"/>
      <c r="EO92" s="67"/>
      <c r="EP92" s="40">
        <f t="shared" si="54"/>
        <v>0</v>
      </c>
      <c r="ER92" s="85">
        <v>58424</v>
      </c>
      <c r="ES92" s="67"/>
      <c r="ET92" s="67"/>
      <c r="EU92" s="67"/>
      <c r="EV92" s="67"/>
      <c r="EW92" s="40">
        <f t="shared" si="55"/>
        <v>0</v>
      </c>
      <c r="EY92" s="85">
        <v>58424</v>
      </c>
      <c r="EZ92" s="67"/>
      <c r="FA92" s="67"/>
      <c r="FB92" s="67"/>
      <c r="FC92" s="67"/>
      <c r="FD92" s="40">
        <f t="shared" si="56"/>
        <v>0</v>
      </c>
    </row>
    <row r="93" spans="2:160" x14ac:dyDescent="0.4">
      <c r="F93" s="85">
        <v>58622</v>
      </c>
      <c r="G93" s="85"/>
      <c r="H93" s="85">
        <v>58607</v>
      </c>
      <c r="I93" s="40">
        <f>SUM(Y92:Y93,AA92:AA93,AI92:AI93,AQ92:AQ93,AY92:AY93,BF92:BF93,BM92:BM93,BS92:BS93,BY92:BY93,CF92:CF93,CL92:CL93,CS92:CS93,CY92:CY93,DF92:DF93,DM92:DM93,DS92:DS93,DY92:DY93,EE92:EE93,EL92:EL93,ES92:ES93,EZ92:EZ93)</f>
        <v>0</v>
      </c>
      <c r="J93" s="40">
        <f>SUM(AC92:AC93,AK92:AK93,AS92:AS93,BA92:BA93,BH92:BH93,BO92:BO93,BU92:BU93,CA92:CA93,CH92:CH93,CN92:CN93,CU92:CU93,DA92:DA93,DH92:DH93,DO92:DO93,DU92:DU93,EA92:EA93,EG92:EG93,EN92:EN93,EU92:EU93,FB92:FB93)</f>
        <v>0</v>
      </c>
      <c r="K93" s="40">
        <f>SUM(AD92:AD93,AL92:AL93,AT92:AT93,BB92:BB93,BI92:BI93,CB92:CB93,CO92:CO93,DB92:DB93,DI92:DI93,EH92:EH93,EO92:EO93,EV92:EV93,FC92:FC93)</f>
        <v>0</v>
      </c>
      <c r="L93" s="40">
        <f>SUM(AE92:AE93,AM92:AM93,AU92:AU93)</f>
        <v>0</v>
      </c>
      <c r="M93" s="40">
        <f>SUM(I93:L93)</f>
        <v>0</v>
      </c>
      <c r="O93" s="85">
        <v>58622</v>
      </c>
      <c r="P93" s="85"/>
      <c r="Q93" s="85">
        <v>58607</v>
      </c>
      <c r="R93" s="40">
        <f t="shared" si="37"/>
        <v>0</v>
      </c>
      <c r="S93" s="40">
        <f t="shared" si="38"/>
        <v>0</v>
      </c>
      <c r="T93" s="40">
        <f t="shared" si="39"/>
        <v>0</v>
      </c>
      <c r="U93" s="40">
        <f t="shared" si="40"/>
        <v>0</v>
      </c>
      <c r="V93" s="40">
        <f t="shared" si="57"/>
        <v>0</v>
      </c>
      <c r="X93" s="85">
        <v>58607</v>
      </c>
      <c r="Y93" s="40"/>
      <c r="Z93" s="101"/>
      <c r="AA93" s="40"/>
      <c r="AB93" s="101"/>
      <c r="AC93" s="40">
        <f t="shared" si="36"/>
        <v>0</v>
      </c>
      <c r="AD93" s="40"/>
      <c r="AE93" s="40"/>
      <c r="AF93" s="40">
        <f t="shared" si="42"/>
        <v>0</v>
      </c>
      <c r="AH93" s="85">
        <v>58607</v>
      </c>
      <c r="AI93" s="40"/>
      <c r="AJ93" s="40"/>
      <c r="AK93" s="40"/>
      <c r="AL93" s="40"/>
      <c r="AM93" s="40"/>
      <c r="AN93" s="40">
        <f t="shared" si="41"/>
        <v>0</v>
      </c>
      <c r="AP93" s="85">
        <v>58607</v>
      </c>
      <c r="AQ93" s="40">
        <v>0</v>
      </c>
      <c r="AR93" s="101"/>
      <c r="AS93" s="40">
        <v>0</v>
      </c>
      <c r="AT93" s="40">
        <v>0</v>
      </c>
      <c r="AU93" s="40"/>
      <c r="AV93" s="40">
        <f t="shared" si="43"/>
        <v>0</v>
      </c>
      <c r="AX93" s="85">
        <v>58607</v>
      </c>
      <c r="AY93" s="40">
        <v>0</v>
      </c>
      <c r="BA93" s="40">
        <v>0</v>
      </c>
      <c r="BB93" s="40">
        <v>0</v>
      </c>
      <c r="BC93" s="40">
        <f t="shared" si="44"/>
        <v>0</v>
      </c>
      <c r="BE93" s="85">
        <v>58607</v>
      </c>
      <c r="BF93" s="40"/>
      <c r="BG93" s="40"/>
      <c r="BH93" s="40"/>
      <c r="BI93" s="40"/>
      <c r="BJ93" s="40">
        <f t="shared" si="45"/>
        <v>0</v>
      </c>
      <c r="BL93" s="85">
        <v>58607</v>
      </c>
      <c r="BN93" s="40"/>
      <c r="BP93" s="40">
        <f t="shared" si="46"/>
        <v>0</v>
      </c>
      <c r="BR93" s="85">
        <v>58607</v>
      </c>
      <c r="BV93" s="40">
        <f t="shared" si="47"/>
        <v>0</v>
      </c>
      <c r="BX93" s="85">
        <v>58607</v>
      </c>
      <c r="BY93" s="40"/>
      <c r="BZ93" s="87"/>
      <c r="CA93" s="40"/>
      <c r="CB93" s="40"/>
      <c r="CC93" s="40">
        <f t="shared" si="34"/>
        <v>0</v>
      </c>
      <c r="CE93" s="85">
        <v>58607</v>
      </c>
      <c r="CG93" s="87"/>
      <c r="CK93" s="85">
        <v>58607</v>
      </c>
      <c r="CL93" s="40"/>
      <c r="CM93" s="87"/>
      <c r="CN93" s="40"/>
      <c r="CP93" s="40">
        <f t="shared" si="48"/>
        <v>0</v>
      </c>
      <c r="CR93" s="85">
        <v>58607</v>
      </c>
      <c r="CS93" s="40"/>
      <c r="CT93" s="87"/>
      <c r="CU93" s="40"/>
      <c r="CV93" s="40">
        <f t="shared" si="49"/>
        <v>0</v>
      </c>
      <c r="CX93" s="85">
        <v>58607</v>
      </c>
      <c r="CZ93" s="87"/>
      <c r="DC93" s="40">
        <f t="shared" si="50"/>
        <v>0</v>
      </c>
      <c r="DE93" s="85">
        <v>58607</v>
      </c>
      <c r="DG93" s="87"/>
      <c r="DJ93" s="40">
        <f t="shared" si="35"/>
        <v>0</v>
      </c>
      <c r="DL93" s="85">
        <v>58607</v>
      </c>
      <c r="DM93" s="67"/>
      <c r="DN93" s="67"/>
      <c r="DO93" s="67"/>
      <c r="DP93" s="67"/>
      <c r="DR93" s="85">
        <v>58607</v>
      </c>
      <c r="DS93" s="67"/>
      <c r="DT93" s="67"/>
      <c r="DU93" s="67"/>
      <c r="DV93" s="40">
        <f t="shared" si="51"/>
        <v>0</v>
      </c>
      <c r="DX93" s="85">
        <v>58607</v>
      </c>
      <c r="DY93" s="67"/>
      <c r="DZ93" s="67"/>
      <c r="EA93" s="67"/>
      <c r="EB93" s="40">
        <f t="shared" si="52"/>
        <v>0</v>
      </c>
      <c r="ED93" s="85">
        <v>58607</v>
      </c>
      <c r="EE93" s="67"/>
      <c r="EF93" s="67"/>
      <c r="EG93" s="67"/>
      <c r="EH93" s="67"/>
      <c r="EI93" s="40">
        <f t="shared" si="53"/>
        <v>0</v>
      </c>
      <c r="EK93" s="85">
        <v>58607</v>
      </c>
      <c r="EL93" s="67"/>
      <c r="EM93" s="67"/>
      <c r="EN93" s="67"/>
      <c r="EO93" s="67"/>
      <c r="EP93" s="40">
        <f t="shared" si="54"/>
        <v>0</v>
      </c>
      <c r="ER93" s="85">
        <v>58607</v>
      </c>
      <c r="ES93" s="67"/>
      <c r="ET93" s="67"/>
      <c r="EU93" s="67"/>
      <c r="EV93" s="67"/>
      <c r="EW93" s="40">
        <f t="shared" si="55"/>
        <v>0</v>
      </c>
      <c r="EY93" s="85">
        <v>58607</v>
      </c>
      <c r="EZ93" s="67"/>
      <c r="FA93" s="67"/>
      <c r="FB93" s="67"/>
      <c r="FC93" s="67"/>
      <c r="FD93" s="40">
        <f t="shared" si="56"/>
        <v>0</v>
      </c>
    </row>
    <row r="94" spans="2:160" x14ac:dyDescent="0.4">
      <c r="AR94" s="101"/>
    </row>
    <row r="95" spans="2:160" x14ac:dyDescent="0.4">
      <c r="B95" s="95" t="s">
        <v>40</v>
      </c>
      <c r="C95" s="96">
        <v>12779385912.57</v>
      </c>
      <c r="F95" s="95" t="s">
        <v>40</v>
      </c>
      <c r="G95" s="95"/>
      <c r="H95" s="95"/>
      <c r="I95" s="96">
        <f>SUM(I11:I94)</f>
        <v>2935029555.0999999</v>
      </c>
      <c r="J95" s="96">
        <f>SUM(J11:J94)</f>
        <v>2594683828.4400001</v>
      </c>
      <c r="K95" s="96">
        <f>SUM(K11:K94)</f>
        <v>6718410134</v>
      </c>
      <c r="L95" s="96">
        <f>SUM(L11:L94)</f>
        <v>-23961878.119999997</v>
      </c>
      <c r="M95" s="96">
        <f>SUM(M11:M94)</f>
        <v>12224161639.42</v>
      </c>
      <c r="O95" s="95" t="s">
        <v>40</v>
      </c>
      <c r="P95" s="95"/>
      <c r="Q95" s="95"/>
      <c r="R95" s="96">
        <f>SUM(R11:R94)</f>
        <v>2935029555.1000004</v>
      </c>
      <c r="S95" s="96">
        <f>SUM(S11:S94)</f>
        <v>2594683828.4400001</v>
      </c>
      <c r="T95" s="96">
        <f>SUM(T11:T94)</f>
        <v>6718410134.0000029</v>
      </c>
      <c r="U95" s="96">
        <f>SUM(U11:U94)</f>
        <v>-23961878.119999997</v>
      </c>
      <c r="V95" s="96">
        <f>SUM(V11:V94)</f>
        <v>12224161639.42</v>
      </c>
      <c r="X95" s="95" t="s">
        <v>40</v>
      </c>
      <c r="Y95" s="96">
        <f>SUM(Y11:Y94)</f>
        <v>444905000</v>
      </c>
      <c r="Z95" s="96"/>
      <c r="AA95" s="96">
        <f>SUM(AA11:AA94)</f>
        <v>437000000</v>
      </c>
      <c r="AB95" s="96"/>
      <c r="AC95" s="96">
        <f>SUM(AC11:AC94)</f>
        <v>1140006116.6700001</v>
      </c>
      <c r="AD95" s="96">
        <f>SUM(AD11:AD94)</f>
        <v>0</v>
      </c>
      <c r="AE95" s="96">
        <f>SUM(AE11:AE94)</f>
        <v>-23961878.119999997</v>
      </c>
      <c r="AF95" s="96">
        <f>SUM(AF11:AF94)</f>
        <v>1997949238.55</v>
      </c>
      <c r="AH95" s="95" t="s">
        <v>40</v>
      </c>
      <c r="AI95" s="96">
        <f>SUM(AI11:AI94)</f>
        <v>0</v>
      </c>
      <c r="AJ95" s="96"/>
      <c r="AK95" s="96">
        <f>SUM(AK11:AK94)</f>
        <v>531431.77</v>
      </c>
      <c r="AL95" s="96">
        <f>SUM(AL11:AL94)</f>
        <v>0</v>
      </c>
      <c r="AM95" s="96">
        <f>SUM(AM11:AM94)</f>
        <v>0</v>
      </c>
      <c r="AN95" s="96">
        <f>SUM(AN11:AN94)</f>
        <v>531431.77</v>
      </c>
      <c r="AP95" s="95" t="s">
        <v>40</v>
      </c>
      <c r="AQ95" s="96">
        <f>SUM(AQ11:AQ94)</f>
        <v>246729577.80000001</v>
      </c>
      <c r="AR95" s="96"/>
      <c r="AS95" s="96">
        <f>SUM(AS11:AS94)</f>
        <v>354477875</v>
      </c>
      <c r="AT95" s="96">
        <f>SUM(AT11:AT94)</f>
        <v>339931665.64999998</v>
      </c>
      <c r="AU95" s="96">
        <f>SUM(AU11:AU94)</f>
        <v>0</v>
      </c>
      <c r="AV95" s="96">
        <f>SUM(AV11:AV94)</f>
        <v>941139118.44999993</v>
      </c>
      <c r="AX95" s="95" t="s">
        <v>40</v>
      </c>
      <c r="AY95" s="96">
        <f>SUM(AY11:AY94)</f>
        <v>225776146.75</v>
      </c>
      <c r="AZ95" s="182"/>
      <c r="BA95" s="96">
        <f>SUM(BA11:BA94)</f>
        <v>60326828.75</v>
      </c>
      <c r="BB95" s="96">
        <f>SUM(BB11:BB94)</f>
        <v>734766213.39999998</v>
      </c>
      <c r="BC95" s="96">
        <f>SUM(BC11:BC94)</f>
        <v>1020869188.9</v>
      </c>
      <c r="BE95" s="95" t="s">
        <v>40</v>
      </c>
      <c r="BF95" s="96">
        <f>SUM(BF11:BF94)</f>
        <v>153154550</v>
      </c>
      <c r="BG95" s="96"/>
      <c r="BH95" s="96">
        <f>SUM(BH11:BH94)</f>
        <v>232925250</v>
      </c>
      <c r="BI95" s="96">
        <f>SUM(BI11:BI94)</f>
        <v>171870450</v>
      </c>
      <c r="BJ95" s="96">
        <f>SUM(BJ11:BJ94)</f>
        <v>557950250</v>
      </c>
      <c r="BL95" s="95" t="s">
        <v>40</v>
      </c>
      <c r="BM95" s="96">
        <f>SUM(BM11:BM94)</f>
        <v>66215000</v>
      </c>
      <c r="BN95" s="96"/>
      <c r="BO95" s="96">
        <f>SUM(BO11:BO94)</f>
        <v>79511500</v>
      </c>
      <c r="BP95" s="96">
        <f>SUM(BP11:BP94)</f>
        <v>145726500</v>
      </c>
      <c r="BR95" s="95" t="s">
        <v>40</v>
      </c>
      <c r="BS95" s="96">
        <f>SUM(BS11:BS94)</f>
        <v>97075000</v>
      </c>
      <c r="BT95" s="96"/>
      <c r="BU95" s="96">
        <f>SUM(BU11:BU94)</f>
        <v>110422875</v>
      </c>
      <c r="BV95" s="96">
        <f>SUM(BV11:BV94)</f>
        <v>207497875</v>
      </c>
      <c r="BX95" s="95" t="s">
        <v>40</v>
      </c>
      <c r="BY95" s="96">
        <f>SUM(BY11:BY94)</f>
        <v>714963759.89999998</v>
      </c>
      <c r="BZ95" s="96"/>
      <c r="CA95" s="96">
        <f>SUM(CA11:CA94)</f>
        <v>493168318.75</v>
      </c>
      <c r="CB95" s="96">
        <f>SUM(CB11:CB94)</f>
        <v>510077325.60000002</v>
      </c>
      <c r="CC95" s="96">
        <f>SUM(CC11:CC94)</f>
        <v>1718209404.25</v>
      </c>
      <c r="CE95" s="95" t="s">
        <v>40</v>
      </c>
      <c r="CF95" s="96">
        <f>SUM(CF11:CF94)</f>
        <v>0</v>
      </c>
      <c r="CG95" s="96"/>
      <c r="CH95" s="96">
        <f>SUM(CH11:CH94)</f>
        <v>0</v>
      </c>
      <c r="CI95" s="96">
        <f>SUM(CI11:CI94)</f>
        <v>0</v>
      </c>
      <c r="CJ95" s="67"/>
      <c r="CK95" s="95" t="s">
        <v>40</v>
      </c>
      <c r="CL95" s="96">
        <f>SUM(CL11:CL94)</f>
        <v>200004497.39999998</v>
      </c>
      <c r="CM95" s="96"/>
      <c r="CN95" s="96">
        <f>SUM(CN11:CN94)</f>
        <v>36539450</v>
      </c>
      <c r="CO95" s="96">
        <f>SUM(CO11:CO94)</f>
        <v>1200035502.5999999</v>
      </c>
      <c r="CP95" s="96">
        <f>SUM(CP11:CP94)</f>
        <v>1436579450</v>
      </c>
      <c r="CR95" s="95" t="s">
        <v>40</v>
      </c>
      <c r="CS95" s="96">
        <f>SUM(CS11:CS94)</f>
        <v>0</v>
      </c>
      <c r="CT95" s="96"/>
      <c r="CU95" s="96">
        <f>SUM(CU11:CU94)</f>
        <v>8353400</v>
      </c>
      <c r="CV95" s="96">
        <f>SUM(CV11:CV94)</f>
        <v>8353400</v>
      </c>
      <c r="CW95" s="67"/>
      <c r="CX95" s="95" t="s">
        <v>40</v>
      </c>
      <c r="CY95" s="96">
        <f>SUM(CY11:CY94)</f>
        <v>123286623.69999999</v>
      </c>
      <c r="CZ95" s="96"/>
      <c r="DA95" s="96">
        <f>SUM(DA11:DA94)</f>
        <v>31248315</v>
      </c>
      <c r="DB95" s="96">
        <f>SUM(DB11:DB94)</f>
        <v>3207273376.3000002</v>
      </c>
      <c r="DC95" s="96">
        <f>SUM(DC11:DC94)</f>
        <v>3361808315</v>
      </c>
      <c r="DD95" s="67"/>
      <c r="DE95" s="95" t="s">
        <v>40</v>
      </c>
      <c r="DF95" s="96">
        <f>SUM(DF11:DF94)</f>
        <v>31575329.75</v>
      </c>
      <c r="DG95" s="96"/>
      <c r="DH95" s="96">
        <f>SUM(DH11:DH94)</f>
        <v>12817267.5</v>
      </c>
      <c r="DI95" s="96">
        <f>SUM(DI11:DI94)</f>
        <v>41124670.25</v>
      </c>
      <c r="DJ95" s="96">
        <f>SUM(DJ11:DJ94)</f>
        <v>85517267.5</v>
      </c>
      <c r="DK95" s="67"/>
      <c r="DL95" s="95" t="s">
        <v>40</v>
      </c>
      <c r="DM95" s="96">
        <f>SUM(DM11:DM94)</f>
        <v>0</v>
      </c>
      <c r="DN95" s="96">
        <v>0</v>
      </c>
      <c r="DO95" s="96">
        <f>SUM(DO11:DO94)</f>
        <v>0</v>
      </c>
      <c r="DP95" s="96">
        <f>SUM(DP11:DP94)</f>
        <v>0</v>
      </c>
      <c r="DQ95" s="67"/>
      <c r="DR95" s="95" t="s">
        <v>40</v>
      </c>
      <c r="DS95" s="96">
        <f>SUM(DS11:DS94)</f>
        <v>81445000</v>
      </c>
      <c r="DT95" s="96"/>
      <c r="DU95" s="96">
        <f>SUM(DU11:DU94)</f>
        <v>31817500</v>
      </c>
      <c r="DV95" s="96">
        <f>SUM(DV11:DV94)</f>
        <v>113262500</v>
      </c>
      <c r="DW95" s="67"/>
      <c r="DX95" s="95" t="s">
        <v>40</v>
      </c>
      <c r="DY95" s="96">
        <f>SUM(DY11:DY94)</f>
        <v>14795000</v>
      </c>
      <c r="DZ95" s="96"/>
      <c r="EA95" s="96">
        <f>SUM(EA11:EA94)</f>
        <v>2537700</v>
      </c>
      <c r="EB95" s="96">
        <f>SUM(EB11:EB94)</f>
        <v>17332700</v>
      </c>
      <c r="EC95" s="95"/>
      <c r="ED95" s="95" t="s">
        <v>40</v>
      </c>
      <c r="EE95" s="96">
        <f>SUM(EE11:EE94)</f>
        <v>58802733.450000003</v>
      </c>
      <c r="EF95" s="96"/>
      <c r="EG95" s="96">
        <f>SUM(EG11:EG94)</f>
        <v>0</v>
      </c>
      <c r="EH95" s="96">
        <f>SUM(EH11:EH94)</f>
        <v>239457266.55000001</v>
      </c>
      <c r="EI95" s="96">
        <f>SUM(EI11:EI94)</f>
        <v>298260000</v>
      </c>
      <c r="EK95" s="95" t="s">
        <v>40</v>
      </c>
      <c r="EL95" s="96">
        <f>SUM(EL11:EL94)</f>
        <v>21826988</v>
      </c>
      <c r="EM95" s="96"/>
      <c r="EN95" s="96">
        <f>SUM(EN11:EN94)</f>
        <v>0</v>
      </c>
      <c r="EO95" s="96">
        <f>SUM(EO11:EO94)</f>
        <v>182353012</v>
      </c>
      <c r="EP95" s="96">
        <f>SUM(EP11:EP94)</f>
        <v>204180000</v>
      </c>
      <c r="ER95" s="95" t="s">
        <v>40</v>
      </c>
      <c r="ES95" s="96">
        <f>SUM(ES11:ES94)</f>
        <v>3600680.9</v>
      </c>
      <c r="ET95" s="96"/>
      <c r="EU95" s="96">
        <f>SUM(EU11:EU94)</f>
        <v>0</v>
      </c>
      <c r="EV95" s="96">
        <f>SUM(EV11:EV94)</f>
        <v>17424319.099999998</v>
      </c>
      <c r="EW95" s="96">
        <f>SUM(EW11:EW94)</f>
        <v>21025000</v>
      </c>
      <c r="EY95" s="95" t="s">
        <v>40</v>
      </c>
      <c r="EZ95" s="96">
        <f>SUM(EZ11:EZ94)</f>
        <v>13873667.449999999</v>
      </c>
      <c r="FA95" s="96"/>
      <c r="FB95" s="96">
        <f>SUM(FB11:FB94)</f>
        <v>0</v>
      </c>
      <c r="FC95" s="96">
        <f>SUM(FC11:FC94)</f>
        <v>74096332.549999997</v>
      </c>
      <c r="FD95" s="96">
        <f>SUM(FD11:FD94)</f>
        <v>87970000</v>
      </c>
    </row>
    <row r="96" spans="2:160" x14ac:dyDescent="0.4">
      <c r="X96" s="97"/>
      <c r="Y96" s="98"/>
      <c r="Z96" s="98"/>
      <c r="AA96" s="98"/>
      <c r="AB96" s="98"/>
      <c r="AC96" s="98"/>
      <c r="AD96" s="98"/>
      <c r="AE96" s="73"/>
      <c r="AH96" s="97"/>
      <c r="AI96" s="98"/>
      <c r="AJ96" s="98"/>
      <c r="AK96" s="98"/>
      <c r="AL96" s="98"/>
      <c r="AM96" s="73"/>
      <c r="AP96" s="97"/>
      <c r="AQ96" s="98"/>
      <c r="AR96" s="98"/>
      <c r="AS96" s="98"/>
      <c r="AT96" s="98"/>
      <c r="AU96" s="73"/>
      <c r="AX96" s="97"/>
      <c r="AY96" s="98"/>
      <c r="AZ96" s="183"/>
      <c r="BA96" s="98"/>
      <c r="BB96" s="98"/>
      <c r="BE96" s="97"/>
      <c r="BF96" s="98"/>
      <c r="BG96" s="98"/>
      <c r="BH96" s="98"/>
      <c r="BI96" s="98"/>
      <c r="BL96" s="97"/>
      <c r="BM96" s="98"/>
      <c r="BN96" s="98"/>
      <c r="BO96" s="98"/>
      <c r="BP96" s="98"/>
      <c r="BR96" s="97"/>
      <c r="BS96" s="98"/>
      <c r="BT96" s="98"/>
      <c r="BU96" s="98"/>
      <c r="BV96" s="98"/>
      <c r="BX96" s="97"/>
      <c r="BY96" s="98"/>
      <c r="BZ96" s="98"/>
      <c r="CA96" s="98"/>
      <c r="CB96" s="98"/>
    </row>
    <row r="97" spans="3:81" x14ac:dyDescent="0.4">
      <c r="X97" s="99"/>
      <c r="Y97" s="73"/>
      <c r="Z97" s="73"/>
      <c r="AA97" s="73"/>
      <c r="AB97" s="73"/>
      <c r="AC97" s="73"/>
      <c r="AD97" s="73"/>
      <c r="AE97" s="73"/>
      <c r="AH97" s="99"/>
      <c r="AI97" s="73"/>
      <c r="AJ97" s="73"/>
      <c r="AK97" s="73"/>
      <c r="AL97" s="73"/>
      <c r="AM97" s="73"/>
      <c r="AP97" s="99"/>
      <c r="AQ97" s="73"/>
      <c r="AR97" s="73"/>
      <c r="AS97" s="73"/>
      <c r="AT97" s="73"/>
      <c r="AU97" s="73"/>
      <c r="AX97" s="99"/>
      <c r="AY97" s="73"/>
      <c r="AZ97" s="178"/>
      <c r="BA97" s="73"/>
      <c r="BB97" s="73"/>
      <c r="BE97" s="99"/>
      <c r="BF97" s="73"/>
      <c r="BG97" s="73"/>
      <c r="BH97" s="73"/>
      <c r="BI97" s="73"/>
      <c r="BL97" s="99"/>
      <c r="BM97" s="73"/>
      <c r="BN97" s="73"/>
      <c r="BO97" s="73"/>
      <c r="BP97" s="73"/>
      <c r="BR97" s="99"/>
      <c r="BS97" s="73"/>
      <c r="BT97" s="73"/>
      <c r="BU97" s="73"/>
      <c r="BV97" s="73"/>
      <c r="BX97" s="99"/>
      <c r="BY97" s="73"/>
      <c r="BZ97" s="73"/>
      <c r="CA97" s="73"/>
      <c r="CB97" s="73"/>
    </row>
    <row r="98" spans="3:81" x14ac:dyDescent="0.4">
      <c r="X98" s="67"/>
      <c r="Y98" s="67"/>
      <c r="Z98" s="67"/>
      <c r="AA98" s="67"/>
      <c r="AB98" s="67"/>
      <c r="AC98" s="67"/>
      <c r="AD98" s="67"/>
      <c r="AE98" s="67"/>
      <c r="AF98" s="67"/>
      <c r="AH98" s="67"/>
      <c r="AI98" s="67"/>
      <c r="AJ98" s="67"/>
      <c r="AK98" s="67"/>
      <c r="AL98" s="67"/>
      <c r="AM98" s="67"/>
      <c r="AN98" s="67"/>
      <c r="AP98" s="67"/>
      <c r="AQ98" s="67"/>
      <c r="AR98" s="67"/>
      <c r="AS98" s="67"/>
      <c r="AT98" s="67"/>
      <c r="AU98" s="67"/>
      <c r="AV98" s="67"/>
      <c r="AX98" s="67"/>
      <c r="AY98" s="67"/>
      <c r="AZ98" s="184"/>
      <c r="BA98" s="67"/>
      <c r="BB98" s="67"/>
      <c r="BC98" s="67"/>
      <c r="BE98" s="67"/>
      <c r="BF98" s="67"/>
      <c r="BG98" s="67"/>
      <c r="BH98" s="67"/>
      <c r="BI98" s="67"/>
      <c r="BJ98" s="67"/>
      <c r="BL98" s="67"/>
      <c r="BM98" s="67"/>
      <c r="BN98" s="67"/>
      <c r="BO98" s="67"/>
      <c r="BP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</row>
    <row r="99" spans="3:81" x14ac:dyDescent="0.4">
      <c r="X99" s="67"/>
      <c r="Y99" s="67"/>
      <c r="Z99" s="67"/>
      <c r="AA99" s="67"/>
      <c r="AB99" s="67"/>
      <c r="AC99" s="67"/>
      <c r="AD99" s="67"/>
      <c r="AE99" s="67"/>
      <c r="AF99" s="67"/>
      <c r="AH99" s="67"/>
      <c r="AI99" s="67"/>
      <c r="AJ99" s="67"/>
      <c r="AK99" s="67"/>
      <c r="AL99" s="67"/>
      <c r="AM99" s="67"/>
      <c r="AN99" s="67"/>
      <c r="AP99" s="67"/>
      <c r="AQ99" s="67"/>
      <c r="AR99" s="67"/>
      <c r="AS99" s="67"/>
      <c r="AT99" s="67"/>
      <c r="AU99" s="67"/>
      <c r="AV99" s="67"/>
      <c r="AX99" s="67"/>
      <c r="AY99" s="67"/>
      <c r="AZ99" s="184"/>
      <c r="BA99" s="67"/>
      <c r="BB99" s="67"/>
      <c r="BC99" s="67"/>
      <c r="BE99" s="67"/>
      <c r="BF99" s="67"/>
      <c r="BG99" s="67"/>
      <c r="BH99" s="67"/>
      <c r="BI99" s="67"/>
      <c r="BJ99" s="67"/>
      <c r="BL99" s="67"/>
      <c r="BM99" s="67"/>
      <c r="BN99" s="67"/>
      <c r="BO99" s="67"/>
      <c r="BP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</row>
    <row r="100" spans="3:81" x14ac:dyDescent="0.4">
      <c r="X100" s="67"/>
      <c r="Y100" s="67"/>
      <c r="Z100" s="67"/>
      <c r="AA100" s="67"/>
      <c r="AB100" s="67"/>
      <c r="AC100" s="67"/>
      <c r="AD100" s="67"/>
      <c r="AE100" s="67"/>
      <c r="AF100" s="67"/>
      <c r="AH100" s="67"/>
      <c r="AI100" s="67"/>
      <c r="AJ100" s="67"/>
      <c r="AK100" s="67"/>
      <c r="AL100" s="67"/>
      <c r="AM100" s="67"/>
      <c r="AN100" s="67"/>
      <c r="AP100" s="67"/>
      <c r="AQ100" s="67"/>
      <c r="AR100" s="67"/>
      <c r="AS100" s="67"/>
      <c r="AT100" s="67"/>
      <c r="AU100" s="67"/>
      <c r="AV100" s="67"/>
      <c r="AX100" s="67"/>
      <c r="AY100" s="67"/>
      <c r="AZ100" s="184"/>
      <c r="BA100" s="67"/>
      <c r="BB100" s="67"/>
      <c r="BC100" s="67"/>
      <c r="BE100" s="67"/>
      <c r="BF100" s="67"/>
      <c r="BG100" s="67"/>
      <c r="BH100" s="67"/>
      <c r="BI100" s="67"/>
      <c r="BJ100" s="67"/>
      <c r="BL100" s="67"/>
      <c r="BM100" s="67"/>
      <c r="BN100" s="67"/>
      <c r="BO100" s="67"/>
      <c r="BP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</row>
    <row r="101" spans="3:81" x14ac:dyDescent="0.4">
      <c r="X101" s="67"/>
      <c r="Y101" s="67"/>
      <c r="Z101" s="67"/>
      <c r="AA101" s="67"/>
      <c r="AB101" s="67"/>
      <c r="AC101" s="67"/>
      <c r="AD101" s="67"/>
      <c r="AE101" s="67"/>
      <c r="AF101" s="67"/>
      <c r="AH101" s="67"/>
      <c r="AI101" s="67"/>
      <c r="AJ101" s="67"/>
      <c r="AK101" s="67"/>
      <c r="AL101" s="67"/>
      <c r="AM101" s="67"/>
      <c r="AN101" s="67"/>
      <c r="AP101" s="67"/>
      <c r="AQ101" s="67"/>
      <c r="AR101" s="67"/>
      <c r="AS101" s="67"/>
      <c r="AT101" s="67"/>
      <c r="AU101" s="67"/>
      <c r="AV101" s="67"/>
      <c r="AX101" s="67"/>
      <c r="AY101" s="67"/>
      <c r="AZ101" s="184"/>
      <c r="BA101" s="67"/>
      <c r="BB101" s="67"/>
      <c r="BC101" s="67"/>
      <c r="BE101" s="67"/>
      <c r="BF101" s="67"/>
      <c r="BG101" s="67"/>
      <c r="BH101" s="67"/>
      <c r="BI101" s="67"/>
      <c r="BJ101" s="67"/>
      <c r="BL101" s="67"/>
      <c r="BM101" s="67"/>
      <c r="BN101" s="67"/>
      <c r="BO101" s="67"/>
      <c r="BP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</row>
    <row r="102" spans="3:81" x14ac:dyDescent="0.4">
      <c r="X102" s="67"/>
      <c r="Y102" s="67"/>
      <c r="Z102" s="67"/>
      <c r="AA102" s="67"/>
      <c r="AB102" s="67"/>
      <c r="AC102" s="67"/>
      <c r="AD102" s="67"/>
      <c r="AE102" s="67"/>
      <c r="AF102" s="67"/>
      <c r="AH102" s="67"/>
      <c r="AI102" s="67"/>
      <c r="AJ102" s="67"/>
      <c r="AK102" s="67"/>
      <c r="AL102" s="67"/>
      <c r="AM102" s="67"/>
      <c r="AN102" s="67"/>
      <c r="AP102" s="67"/>
      <c r="AQ102" s="67"/>
      <c r="AR102" s="67"/>
      <c r="AS102" s="67"/>
      <c r="AT102" s="67"/>
      <c r="AU102" s="67"/>
      <c r="AV102" s="67"/>
      <c r="AX102" s="67"/>
      <c r="AY102" s="67"/>
      <c r="AZ102" s="184"/>
      <c r="BA102" s="67"/>
      <c r="BB102" s="67"/>
      <c r="BC102" s="67"/>
      <c r="BE102" s="67"/>
      <c r="BF102" s="67"/>
      <c r="BG102" s="67"/>
      <c r="BH102" s="67"/>
      <c r="BI102" s="67"/>
      <c r="BJ102" s="67"/>
      <c r="BL102" s="67"/>
      <c r="BM102" s="67"/>
      <c r="BN102" s="67"/>
      <c r="BO102" s="67"/>
      <c r="BP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</row>
    <row r="103" spans="3:81" x14ac:dyDescent="0.4">
      <c r="C103" s="100">
        <v>190646046.76999998</v>
      </c>
      <c r="X103" s="67"/>
      <c r="Y103" s="67"/>
      <c r="Z103" s="67"/>
      <c r="AA103" s="67"/>
      <c r="AB103" s="67"/>
      <c r="AC103" s="67"/>
      <c r="AD103" s="67"/>
      <c r="AE103" s="67"/>
      <c r="AF103" s="67"/>
      <c r="AH103" s="67"/>
      <c r="AI103" s="67"/>
      <c r="AJ103" s="67"/>
      <c r="AK103" s="67"/>
      <c r="AL103" s="67"/>
      <c r="AM103" s="67"/>
      <c r="AN103" s="67"/>
      <c r="AP103" s="67"/>
      <c r="AQ103" s="67"/>
      <c r="AR103" s="67"/>
      <c r="AS103" s="67"/>
      <c r="AT103" s="67"/>
      <c r="AU103" s="67"/>
      <c r="AV103" s="67"/>
      <c r="AX103" s="67"/>
      <c r="AY103" s="67"/>
      <c r="AZ103" s="184"/>
      <c r="BA103" s="67"/>
      <c r="BB103" s="67"/>
      <c r="BC103" s="67"/>
      <c r="BE103" s="67"/>
      <c r="BF103" s="67"/>
      <c r="BG103" s="67"/>
      <c r="BH103" s="67"/>
      <c r="BI103" s="67"/>
      <c r="BJ103" s="67"/>
      <c r="BL103" s="67"/>
      <c r="BM103" s="67"/>
      <c r="BN103" s="67"/>
      <c r="BO103" s="67"/>
      <c r="BP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</row>
    <row r="104" spans="3:81" x14ac:dyDescent="0.4">
      <c r="C104" s="100">
        <v>245870696.25</v>
      </c>
    </row>
    <row r="105" spans="3:81" x14ac:dyDescent="0.4">
      <c r="C105" s="100">
        <v>259948102.5</v>
      </c>
    </row>
    <row r="106" spans="3:81" x14ac:dyDescent="0.4">
      <c r="C106" s="100">
        <v>274948635</v>
      </c>
    </row>
    <row r="107" spans="3:81" x14ac:dyDescent="0.4">
      <c r="C107" s="100">
        <v>274876687.5</v>
      </c>
    </row>
    <row r="108" spans="3:81" x14ac:dyDescent="0.4">
      <c r="C108" s="100">
        <v>274869765</v>
      </c>
    </row>
    <row r="109" spans="3:81" x14ac:dyDescent="0.4">
      <c r="C109" s="100">
        <v>278948262.5</v>
      </c>
    </row>
    <row r="110" spans="3:81" x14ac:dyDescent="0.4">
      <c r="C110" s="100">
        <v>291949700</v>
      </c>
    </row>
    <row r="111" spans="3:81" x14ac:dyDescent="0.4">
      <c r="C111" s="100">
        <v>306947050</v>
      </c>
    </row>
    <row r="112" spans="3:81" x14ac:dyDescent="0.4">
      <c r="C112" s="100">
        <v>321946100</v>
      </c>
    </row>
    <row r="113" spans="3:3" x14ac:dyDescent="0.4">
      <c r="C113" s="100">
        <v>337945875</v>
      </c>
    </row>
    <row r="114" spans="3:3" x14ac:dyDescent="0.4">
      <c r="C114" s="100">
        <v>349945950</v>
      </c>
    </row>
    <row r="115" spans="3:3" x14ac:dyDescent="0.4">
      <c r="C115" s="100">
        <v>349947765</v>
      </c>
    </row>
    <row r="116" spans="3:3" x14ac:dyDescent="0.4">
      <c r="C116" s="100">
        <v>349946152.5</v>
      </c>
    </row>
    <row r="117" spans="3:3" x14ac:dyDescent="0.4">
      <c r="C117" s="100">
        <v>349946040</v>
      </c>
    </row>
    <row r="118" spans="3:3" x14ac:dyDescent="0.4">
      <c r="C118" s="100">
        <v>349946527.5</v>
      </c>
    </row>
    <row r="119" spans="3:3" x14ac:dyDescent="0.4">
      <c r="C119" s="100">
        <v>349946785</v>
      </c>
    </row>
    <row r="120" spans="3:3" x14ac:dyDescent="0.4">
      <c r="C120" s="100">
        <v>349947547.5</v>
      </c>
    </row>
    <row r="121" spans="3:3" x14ac:dyDescent="0.4">
      <c r="C121" s="100">
        <v>349948555</v>
      </c>
    </row>
    <row r="122" spans="3:3" x14ac:dyDescent="0.4">
      <c r="C122" s="100">
        <v>349949793.75</v>
      </c>
    </row>
    <row r="123" spans="3:3" x14ac:dyDescent="0.4">
      <c r="C123" s="100">
        <v>349090680</v>
      </c>
    </row>
    <row r="124" spans="3:3" x14ac:dyDescent="0.4">
      <c r="C124" s="100">
        <v>347241557.85000002</v>
      </c>
    </row>
    <row r="125" spans="3:3" x14ac:dyDescent="0.4">
      <c r="C125" s="100">
        <v>347242123.75</v>
      </c>
    </row>
    <row r="126" spans="3:3" x14ac:dyDescent="0.4">
      <c r="C126" s="100">
        <v>347240556.25</v>
      </c>
    </row>
    <row r="127" spans="3:3" x14ac:dyDescent="0.4">
      <c r="C127" s="100">
        <v>347240740</v>
      </c>
    </row>
    <row r="128" spans="3:3" x14ac:dyDescent="0.4">
      <c r="C128" s="100">
        <v>347243482.5</v>
      </c>
    </row>
    <row r="129" spans="3:3" x14ac:dyDescent="0.4">
      <c r="C129" s="100">
        <v>347240226.25</v>
      </c>
    </row>
    <row r="130" spans="3:3" x14ac:dyDescent="0.4">
      <c r="C130" s="100">
        <v>347243846.25</v>
      </c>
    </row>
    <row r="131" spans="3:3" x14ac:dyDescent="0.4">
      <c r="C131" s="100">
        <v>347243071.25</v>
      </c>
    </row>
    <row r="132" spans="3:3" x14ac:dyDescent="0.4">
      <c r="C132" s="100">
        <v>347238658.05000001</v>
      </c>
    </row>
    <row r="133" spans="3:3" x14ac:dyDescent="0.4">
      <c r="C133" s="100">
        <v>347236030.10000002</v>
      </c>
    </row>
    <row r="134" spans="3:3" x14ac:dyDescent="0.4">
      <c r="C134" s="100">
        <v>347243146.5</v>
      </c>
    </row>
    <row r="135" spans="3:3" x14ac:dyDescent="0.4">
      <c r="C135" s="100">
        <v>347240614.5</v>
      </c>
    </row>
    <row r="136" spans="3:3" x14ac:dyDescent="0.4">
      <c r="C136" s="100">
        <v>347240548.19999999</v>
      </c>
    </row>
    <row r="137" spans="3:3" x14ac:dyDescent="0.4">
      <c r="C137" s="100">
        <v>347243507.14999998</v>
      </c>
    </row>
    <row r="138" spans="3:3" x14ac:dyDescent="0.4">
      <c r="C138" s="100">
        <v>347244579.60000002</v>
      </c>
    </row>
    <row r="139" spans="3:3" x14ac:dyDescent="0.4">
      <c r="C139" s="100">
        <v>347240703.40000004</v>
      </c>
    </row>
    <row r="140" spans="3:3" x14ac:dyDescent="0.4">
      <c r="C140" s="100">
        <v>347248625</v>
      </c>
    </row>
    <row r="141" spans="3:3" x14ac:dyDescent="0.4">
      <c r="C141" s="100"/>
    </row>
  </sheetData>
  <phoneticPr fontId="0" type="noConversion"/>
  <pageMargins left="0.75" right="0.75" top="0.5" bottom="0.5" header="0.5" footer="0.5"/>
  <pageSetup scale="49" fitToWidth="10" orientation="portrait" r:id="rId1"/>
  <headerFooter alignWithMargins="0"/>
  <colBreaks count="11" manualBreakCount="11">
    <brk id="13" max="97" man="1"/>
    <brk id="22" max="97" man="1"/>
    <brk id="32" max="97" man="1"/>
    <brk id="40" max="97" man="1"/>
    <brk id="55" max="97" man="1"/>
    <brk id="68" max="97" man="1"/>
    <brk id="81" max="97" man="1"/>
    <brk id="100" max="97" man="1"/>
    <brk id="120" max="97" man="1"/>
    <brk id="132" max="97" man="1"/>
    <brk id="146" max="9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N103"/>
  <sheetViews>
    <sheetView topLeftCell="A3" zoomScaleNormal="100" workbookViewId="0">
      <selection activeCell="A36" sqref="A36"/>
    </sheetView>
  </sheetViews>
  <sheetFormatPr defaultColWidth="10.6640625" defaultRowHeight="13.15" x14ac:dyDescent="0.4"/>
  <cols>
    <col min="1" max="1" width="10.6640625" style="39" customWidth="1"/>
    <col min="2" max="2" width="15.1640625" style="39" customWidth="1"/>
    <col min="3" max="3" width="2.83203125" style="39" customWidth="1"/>
    <col min="4" max="4" width="16.5" style="39" customWidth="1"/>
    <col min="5" max="7" width="19" style="39" bestFit="1" customWidth="1"/>
    <col min="8" max="8" width="17.1640625" style="39" customWidth="1"/>
    <col min="9" max="10" width="20.5" style="39" bestFit="1" customWidth="1"/>
    <col min="11" max="11" width="4.83203125" style="39" customWidth="1"/>
    <col min="12" max="12" width="17" style="39" customWidth="1"/>
    <col min="13" max="13" width="17.33203125" style="39" bestFit="1" customWidth="1"/>
    <col min="14" max="14" width="11.75" style="39" customWidth="1"/>
    <col min="15" max="16" width="17.33203125" style="39" bestFit="1" customWidth="1"/>
    <col min="17" max="17" width="19.1640625" style="39" bestFit="1" customWidth="1"/>
    <col min="18" max="18" width="4.83203125" style="39" customWidth="1"/>
    <col min="19" max="19" width="17" style="39" customWidth="1"/>
    <col min="20" max="20" width="17.33203125" style="39" bestFit="1" customWidth="1"/>
    <col min="21" max="21" width="11.75" style="39" customWidth="1"/>
    <col min="22" max="23" width="17.33203125" style="39" bestFit="1" customWidth="1"/>
    <col min="24" max="24" width="19.1640625" style="39" bestFit="1" customWidth="1"/>
    <col min="25" max="25" width="4.83203125" style="39" customWidth="1"/>
    <col min="26" max="26" width="17" style="39" customWidth="1"/>
    <col min="27" max="27" width="17.33203125" style="39" bestFit="1" customWidth="1"/>
    <col min="28" max="28" width="11.75" style="39" customWidth="1"/>
    <col min="29" max="30" width="17.33203125" style="39" bestFit="1" customWidth="1"/>
    <col min="31" max="31" width="19.1640625" style="39" bestFit="1" customWidth="1"/>
    <col min="32" max="32" width="5.1640625" style="39" customWidth="1"/>
    <col min="33" max="33" width="17" style="39" customWidth="1"/>
    <col min="34" max="34" width="17.33203125" style="39" bestFit="1" customWidth="1"/>
    <col min="35" max="35" width="11.75" style="39" customWidth="1"/>
    <col min="36" max="37" width="17.33203125" style="39" bestFit="1" customWidth="1"/>
    <col min="38" max="38" width="19.1640625" style="39" bestFit="1" customWidth="1"/>
    <col min="39" max="39" width="5.1640625" style="39" customWidth="1"/>
    <col min="40" max="40" width="18.1640625" style="39" customWidth="1"/>
    <col min="41" max="41" width="15.83203125" style="39" bestFit="1" customWidth="1"/>
    <col min="42" max="42" width="11.75" style="39" customWidth="1"/>
    <col min="43" max="43" width="16.1640625" style="39" customWidth="1"/>
    <col min="44" max="44" width="17.33203125" style="39" bestFit="1" customWidth="1"/>
    <col min="45" max="45" width="5.1640625" style="39" customWidth="1"/>
    <col min="46" max="46" width="18.1640625" style="39" customWidth="1"/>
    <col min="47" max="47" width="15.83203125" style="39" bestFit="1" customWidth="1"/>
    <col min="48" max="48" width="9.33203125" style="39" customWidth="1"/>
    <col min="49" max="49" width="16.1640625" style="39" customWidth="1"/>
    <col min="50" max="50" width="17.33203125" style="39" bestFit="1" customWidth="1"/>
    <col min="51" max="51" width="5.1640625" style="39" customWidth="1"/>
    <col min="52" max="52" width="17" style="39" customWidth="1"/>
    <col min="53" max="53" width="17.33203125" style="39" bestFit="1" customWidth="1"/>
    <col min="54" max="54" width="10.33203125" style="39" customWidth="1"/>
    <col min="55" max="56" width="17.33203125" style="39" bestFit="1" customWidth="1"/>
    <col min="57" max="57" width="19.1640625" style="39" bestFit="1" customWidth="1"/>
    <col min="58" max="58" width="5.1640625" style="39" hidden="1" customWidth="1"/>
    <col min="59" max="59" width="15.6640625" style="39" hidden="1" customWidth="1"/>
    <col min="60" max="60" width="15" style="39" hidden="1" customWidth="1"/>
    <col min="61" max="61" width="11.75" style="39" hidden="1" customWidth="1"/>
    <col min="62" max="62" width="11.5" style="39" hidden="1" customWidth="1"/>
    <col min="63" max="63" width="14.25" style="39" hidden="1" customWidth="1"/>
    <col min="64" max="64" width="15" style="39" hidden="1" customWidth="1"/>
    <col min="65" max="65" width="5.1640625" style="39" customWidth="1"/>
    <col min="66" max="66" width="20.33203125" style="39" customWidth="1"/>
    <col min="67" max="67" width="17.33203125" style="39" bestFit="1" customWidth="1"/>
    <col min="68" max="68" width="9.33203125" style="39" customWidth="1"/>
    <col min="69" max="69" width="17.33203125" style="39" bestFit="1" customWidth="1"/>
    <col min="70" max="70" width="9.33203125" style="39" customWidth="1"/>
    <col min="71" max="71" width="17.33203125" style="39" bestFit="1" customWidth="1"/>
    <col min="72" max="72" width="9.33203125" style="39" customWidth="1"/>
    <col min="73" max="73" width="17.33203125" style="39" bestFit="1" customWidth="1"/>
    <col min="74" max="74" width="9.33203125" style="39" customWidth="1"/>
    <col min="75" max="77" width="19.1640625" style="39" bestFit="1" customWidth="1"/>
    <col min="78" max="78" width="5.1640625" style="39" customWidth="1"/>
    <col min="79" max="79" width="18.83203125" style="39" customWidth="1"/>
    <col min="80" max="80" width="17.1640625" style="39" customWidth="1"/>
    <col min="81" max="81" width="10.5" style="39" customWidth="1"/>
    <col min="82" max="82" width="18.33203125" style="39" customWidth="1"/>
    <col min="83" max="83" width="17.83203125" style="39" customWidth="1"/>
    <col min="84" max="84" width="4.83203125" style="39" customWidth="1"/>
    <col min="85" max="85" width="16.33203125" style="39" customWidth="1"/>
    <col min="86" max="86" width="17.33203125" style="39" bestFit="1" customWidth="1"/>
    <col min="87" max="87" width="9.83203125" style="39" customWidth="1"/>
    <col min="88" max="88" width="17" style="39" customWidth="1"/>
    <col min="89" max="90" width="19.1640625" style="39" bestFit="1" customWidth="1"/>
    <col min="91" max="91" width="4.83203125" style="39" customWidth="1"/>
    <col min="92" max="92" width="18.1640625" style="39" customWidth="1"/>
    <col min="93" max="93" width="16.1640625" style="39" customWidth="1"/>
    <col min="94" max="94" width="10.33203125" style="39" customWidth="1"/>
    <col min="95" max="95" width="17.1640625" style="39" customWidth="1"/>
    <col min="96" max="97" width="16.1640625" style="39" customWidth="1"/>
    <col min="98" max="98" width="10.6640625" style="39" hidden="1" customWidth="1"/>
    <col min="99" max="99" width="18.6640625" style="39" hidden="1" customWidth="1"/>
    <col min="100" max="100" width="15.83203125" style="39" hidden="1" customWidth="1"/>
    <col min="101" max="101" width="9.33203125" style="39" hidden="1" customWidth="1"/>
    <col min="102" max="102" width="13.83203125" style="39" hidden="1" customWidth="1"/>
    <col min="103" max="103" width="15.83203125" style="39" hidden="1" customWidth="1"/>
    <col min="104" max="104" width="4.83203125" style="39" customWidth="1"/>
    <col min="105" max="105" width="19.33203125" style="39" customWidth="1"/>
    <col min="106" max="106" width="15" style="39" customWidth="1"/>
    <col min="107" max="107" width="9.33203125" style="39" customWidth="1"/>
    <col min="108" max="108" width="15" style="39" customWidth="1"/>
    <col min="109" max="109" width="16.1640625" style="39" customWidth="1"/>
    <col min="110" max="110" width="4.83203125" style="39" customWidth="1"/>
    <col min="111" max="111" width="21.1640625" style="39" customWidth="1"/>
    <col min="112" max="112" width="16.6640625" style="39" customWidth="1"/>
    <col min="113" max="113" width="9.33203125" style="39" customWidth="1"/>
    <col min="114" max="114" width="18" style="39" customWidth="1"/>
    <col min="115" max="115" width="17.1640625" style="39" customWidth="1"/>
    <col min="116" max="116" width="4.83203125" style="39" customWidth="1"/>
    <col min="117" max="117" width="20.5" style="39" customWidth="1"/>
    <col min="118" max="118" width="16.5" style="39" customWidth="1"/>
    <col min="119" max="119" width="9.33203125" style="39" customWidth="1"/>
    <col min="120" max="120" width="9" style="39" customWidth="1"/>
    <col min="121" max="121" width="18.33203125" style="39" customWidth="1"/>
    <col min="122" max="122" width="19.33203125" style="39" customWidth="1"/>
    <col min="123" max="123" width="10.6640625" style="39" customWidth="1"/>
    <col min="124" max="124" width="20" style="39" customWidth="1"/>
    <col min="125" max="125" width="17.1640625" style="39" customWidth="1"/>
    <col min="126" max="126" width="9.33203125" style="39" customWidth="1"/>
    <col min="127" max="127" width="9" style="39" customWidth="1"/>
    <col min="128" max="128" width="19" style="39" customWidth="1"/>
    <col min="129" max="129" width="17.5" style="39" customWidth="1"/>
    <col min="130" max="130" width="4.83203125" style="39" customWidth="1"/>
    <col min="131" max="131" width="18" style="39" customWidth="1"/>
    <col min="132" max="132" width="16.6640625" style="39" customWidth="1"/>
    <col min="133" max="133" width="9.33203125" style="39" customWidth="1"/>
    <col min="134" max="134" width="9" style="39" customWidth="1"/>
    <col min="135" max="135" width="17" style="39" customWidth="1"/>
    <col min="136" max="136" width="17.1640625" style="39" customWidth="1"/>
    <col min="137" max="137" width="4.83203125" style="39" customWidth="1"/>
    <col min="138" max="138" width="19.1640625" style="39" customWidth="1"/>
    <col min="139" max="139" width="16.5" style="39" customWidth="1"/>
    <col min="140" max="140" width="9.33203125" style="39" customWidth="1"/>
    <col min="141" max="141" width="13.33203125" style="39" customWidth="1"/>
    <col min="142" max="143" width="18" style="39" customWidth="1"/>
    <col min="144" max="144" width="14.1640625" style="100" bestFit="1" customWidth="1"/>
    <col min="145" max="16384" width="10.6640625" style="39"/>
  </cols>
  <sheetData>
    <row r="2" spans="1:143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R2" s="64"/>
      <c r="Y2" s="64"/>
      <c r="AF2" s="64"/>
      <c r="AM2" s="64"/>
      <c r="AN2" s="64"/>
      <c r="AO2" s="64"/>
      <c r="AQ2" s="64"/>
      <c r="AR2" s="64"/>
      <c r="AS2" s="64"/>
      <c r="AT2" s="64"/>
      <c r="AU2" s="64"/>
      <c r="AV2" s="64"/>
      <c r="AW2" s="64"/>
      <c r="AX2" s="64"/>
    </row>
    <row r="4" spans="1:143" x14ac:dyDescent="0.4">
      <c r="CF4" s="67"/>
      <c r="CM4" s="67"/>
      <c r="CT4" s="67"/>
      <c r="CZ4" s="67"/>
      <c r="DF4" s="67"/>
      <c r="DL4" s="67"/>
    </row>
    <row r="5" spans="1:143" x14ac:dyDescent="0.4">
      <c r="B5" s="70"/>
      <c r="C5" s="70"/>
      <c r="D5" s="68" t="s">
        <v>48</v>
      </c>
      <c r="E5" s="69"/>
      <c r="F5" s="69"/>
      <c r="G5" s="69"/>
      <c r="H5" s="69"/>
      <c r="I5" s="69"/>
      <c r="J5" s="69"/>
      <c r="L5" s="68" t="s">
        <v>48</v>
      </c>
      <c r="M5" s="69"/>
      <c r="N5" s="69"/>
      <c r="O5" s="69"/>
      <c r="P5" s="69"/>
      <c r="Q5" s="69"/>
      <c r="S5" s="68" t="s">
        <v>48</v>
      </c>
      <c r="T5" s="69"/>
      <c r="U5" s="69"/>
      <c r="V5" s="69"/>
      <c r="W5" s="69"/>
      <c r="X5" s="69"/>
      <c r="Z5" s="68" t="s">
        <v>48</v>
      </c>
      <c r="AA5" s="69"/>
      <c r="AB5" s="69"/>
      <c r="AC5" s="69"/>
      <c r="AD5" s="69"/>
      <c r="AE5" s="69"/>
      <c r="AG5" s="68" t="s">
        <v>48</v>
      </c>
      <c r="AH5" s="69"/>
      <c r="AI5" s="69"/>
      <c r="AJ5" s="69"/>
      <c r="AK5" s="69"/>
      <c r="AL5" s="69"/>
      <c r="AN5" s="68" t="s">
        <v>48</v>
      </c>
      <c r="AO5" s="69"/>
      <c r="AP5" s="69"/>
      <c r="AQ5" s="69"/>
      <c r="AR5" s="69"/>
      <c r="AT5" s="68" t="s">
        <v>48</v>
      </c>
      <c r="AU5" s="69"/>
      <c r="AV5" s="69"/>
      <c r="AW5" s="69"/>
      <c r="AX5" s="69"/>
      <c r="AZ5" s="68" t="s">
        <v>48</v>
      </c>
      <c r="BA5" s="69"/>
      <c r="BB5" s="69"/>
      <c r="BC5" s="69"/>
      <c r="BD5" s="69"/>
      <c r="BE5" s="69"/>
      <c r="BG5" s="68" t="s">
        <v>48</v>
      </c>
      <c r="BH5" s="69"/>
      <c r="BI5" s="69"/>
      <c r="BJ5" s="69"/>
      <c r="BK5" s="69"/>
      <c r="BL5" s="69"/>
      <c r="BN5" s="68" t="s">
        <v>48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CA5" s="68" t="s">
        <v>48</v>
      </c>
      <c r="CB5" s="69"/>
      <c r="CC5" s="69"/>
      <c r="CD5" s="69"/>
      <c r="CE5" s="69"/>
      <c r="CF5" s="67"/>
      <c r="CG5" s="68" t="s">
        <v>48</v>
      </c>
      <c r="CH5" s="69"/>
      <c r="CI5" s="69"/>
      <c r="CJ5" s="69"/>
      <c r="CK5" s="69"/>
      <c r="CL5" s="69"/>
      <c r="CM5" s="67"/>
      <c r="CN5" s="68" t="s">
        <v>48</v>
      </c>
      <c r="CO5" s="69"/>
      <c r="CP5" s="69"/>
      <c r="CQ5" s="69"/>
      <c r="CR5" s="69"/>
      <c r="CS5" s="69"/>
      <c r="CT5" s="67"/>
      <c r="CU5" s="68" t="s">
        <v>48</v>
      </c>
      <c r="CV5" s="69"/>
      <c r="CW5" s="69"/>
      <c r="CX5" s="69"/>
      <c r="CY5" s="69"/>
      <c r="CZ5" s="67"/>
      <c r="DA5" s="68" t="s">
        <v>48</v>
      </c>
      <c r="DB5" s="69"/>
      <c r="DC5" s="69"/>
      <c r="DD5" s="69"/>
      <c r="DE5" s="69"/>
      <c r="DF5" s="67"/>
      <c r="DG5" s="68" t="s">
        <v>48</v>
      </c>
      <c r="DH5" s="69"/>
      <c r="DI5" s="69"/>
      <c r="DJ5" s="69"/>
      <c r="DK5" s="69"/>
      <c r="DL5" s="67"/>
      <c r="DM5" s="68" t="s">
        <v>48</v>
      </c>
      <c r="DN5" s="69"/>
      <c r="DO5" s="69"/>
      <c r="DP5" s="69"/>
      <c r="DQ5" s="69"/>
      <c r="DR5" s="69"/>
      <c r="DT5" s="68" t="s">
        <v>48</v>
      </c>
      <c r="DU5" s="69"/>
      <c r="DV5" s="69"/>
      <c r="DW5" s="69"/>
      <c r="DX5" s="69"/>
      <c r="DY5" s="69"/>
      <c r="EA5" s="68" t="s">
        <v>48</v>
      </c>
      <c r="EB5" s="69"/>
      <c r="EC5" s="69"/>
      <c r="ED5" s="69"/>
      <c r="EE5" s="69"/>
      <c r="EF5" s="69"/>
      <c r="EH5" s="68" t="s">
        <v>48</v>
      </c>
      <c r="EI5" s="69"/>
      <c r="EJ5" s="69"/>
      <c r="EK5" s="69"/>
      <c r="EL5" s="69"/>
      <c r="EM5" s="69"/>
    </row>
    <row r="6" spans="1:143" x14ac:dyDescent="0.4">
      <c r="B6" s="72"/>
      <c r="C6" s="72"/>
      <c r="D6" s="72" t="s">
        <v>79</v>
      </c>
      <c r="E6" s="72"/>
      <c r="F6" s="72"/>
      <c r="G6" s="72"/>
      <c r="H6" s="72"/>
      <c r="I6" s="72"/>
      <c r="J6" s="72"/>
      <c r="L6" s="72" t="s">
        <v>78</v>
      </c>
      <c r="M6" s="72"/>
      <c r="N6" s="72"/>
      <c r="O6" s="72"/>
      <c r="P6" s="72"/>
      <c r="Q6" s="72"/>
      <c r="S6" s="72" t="s">
        <v>78</v>
      </c>
      <c r="T6" s="72"/>
      <c r="U6" s="72"/>
      <c r="V6" s="72"/>
      <c r="W6" s="72"/>
      <c r="X6" s="72"/>
      <c r="Z6" s="72" t="s">
        <v>78</v>
      </c>
      <c r="AA6" s="72"/>
      <c r="AB6" s="72"/>
      <c r="AC6" s="72"/>
      <c r="AD6" s="72"/>
      <c r="AE6" s="72"/>
      <c r="AG6" s="72" t="s">
        <v>78</v>
      </c>
      <c r="AH6" s="72"/>
      <c r="AI6" s="72"/>
      <c r="AJ6" s="72"/>
      <c r="AK6" s="72"/>
      <c r="AL6" s="72"/>
      <c r="AN6" s="72" t="s">
        <v>78</v>
      </c>
      <c r="AO6" s="72"/>
      <c r="AP6" s="72"/>
      <c r="AQ6" s="72"/>
      <c r="AR6" s="72"/>
      <c r="AT6" s="72" t="s">
        <v>78</v>
      </c>
      <c r="AU6" s="72"/>
      <c r="AV6" s="72"/>
      <c r="AW6" s="72"/>
      <c r="AX6" s="72"/>
      <c r="AZ6" s="72" t="s">
        <v>78</v>
      </c>
      <c r="BA6" s="72"/>
      <c r="BB6" s="72"/>
      <c r="BC6" s="72"/>
      <c r="BD6" s="72"/>
      <c r="BE6" s="72"/>
      <c r="BF6" s="67"/>
      <c r="BG6" s="72" t="s">
        <v>78</v>
      </c>
      <c r="BH6" s="72"/>
      <c r="BI6" s="72"/>
      <c r="BJ6" s="72"/>
      <c r="BK6" s="72"/>
      <c r="BL6" s="72"/>
      <c r="BM6" s="67"/>
      <c r="BN6" s="72" t="s">
        <v>78</v>
      </c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67"/>
      <c r="CA6" s="72" t="s">
        <v>78</v>
      </c>
      <c r="CB6" s="72"/>
      <c r="CC6" s="72"/>
      <c r="CD6" s="72"/>
      <c r="CE6" s="72"/>
      <c r="CF6" s="72"/>
      <c r="CG6" s="72" t="s">
        <v>78</v>
      </c>
      <c r="CH6" s="72"/>
      <c r="CI6" s="72"/>
      <c r="CJ6" s="72"/>
      <c r="CK6" s="72"/>
      <c r="CL6" s="72"/>
      <c r="CM6" s="72"/>
      <c r="CN6" s="72" t="s">
        <v>78</v>
      </c>
      <c r="CO6" s="72"/>
      <c r="CP6" s="72"/>
      <c r="CQ6" s="72"/>
      <c r="CR6" s="72"/>
      <c r="CS6" s="72"/>
      <c r="CT6" s="72"/>
      <c r="CU6" s="72" t="s">
        <v>78</v>
      </c>
      <c r="CV6" s="72"/>
      <c r="CW6" s="72"/>
      <c r="CX6" s="72"/>
      <c r="CY6" s="72"/>
      <c r="CZ6" s="72"/>
      <c r="DA6" s="72" t="s">
        <v>78</v>
      </c>
      <c r="DB6" s="72"/>
      <c r="DC6" s="72"/>
      <c r="DD6" s="72"/>
      <c r="DE6" s="72"/>
      <c r="DF6" s="72"/>
      <c r="DG6" s="72" t="s">
        <v>78</v>
      </c>
      <c r="DH6" s="72"/>
      <c r="DI6" s="72"/>
      <c r="DJ6" s="72"/>
      <c r="DK6" s="72"/>
      <c r="DL6" s="72"/>
      <c r="DM6" s="72" t="s">
        <v>78</v>
      </c>
      <c r="DN6" s="72"/>
      <c r="DO6" s="72"/>
      <c r="DP6" s="72"/>
      <c r="DQ6" s="72"/>
      <c r="DR6" s="72"/>
      <c r="DS6" s="67"/>
      <c r="DT6" s="72" t="s">
        <v>78</v>
      </c>
      <c r="DU6" s="72"/>
      <c r="DV6" s="72"/>
      <c r="DW6" s="72"/>
      <c r="DX6" s="72"/>
      <c r="DY6" s="72"/>
      <c r="DZ6" s="67"/>
      <c r="EA6" s="72" t="s">
        <v>78</v>
      </c>
      <c r="EB6" s="72"/>
      <c r="EC6" s="72"/>
      <c r="ED6" s="72"/>
      <c r="EE6" s="72"/>
      <c r="EF6" s="72"/>
      <c r="EG6" s="67"/>
      <c r="EH6" s="72" t="s">
        <v>78</v>
      </c>
      <c r="EI6" s="72"/>
      <c r="EJ6" s="72"/>
      <c r="EK6" s="72"/>
      <c r="EL6" s="72"/>
      <c r="EM6" s="72"/>
    </row>
    <row r="7" spans="1:143" x14ac:dyDescent="0.4">
      <c r="B7" s="72"/>
      <c r="C7" s="72"/>
      <c r="D7" s="72" t="s">
        <v>55</v>
      </c>
      <c r="E7" s="72"/>
      <c r="F7" s="72"/>
      <c r="G7" s="72"/>
      <c r="H7" s="72"/>
      <c r="I7" s="72"/>
      <c r="J7" s="72"/>
      <c r="L7" s="71" t="s">
        <v>60</v>
      </c>
      <c r="M7" s="72"/>
      <c r="N7" s="72"/>
      <c r="O7" s="72"/>
      <c r="P7" s="72"/>
      <c r="Q7" s="72"/>
      <c r="S7" s="71" t="s">
        <v>58</v>
      </c>
      <c r="T7" s="72"/>
      <c r="U7" s="72"/>
      <c r="V7" s="72"/>
      <c r="W7" s="72"/>
      <c r="X7" s="72"/>
      <c r="Z7" s="71" t="s">
        <v>61</v>
      </c>
      <c r="AA7" s="72"/>
      <c r="AB7" s="72"/>
      <c r="AC7" s="72"/>
      <c r="AD7" s="72"/>
      <c r="AE7" s="72"/>
      <c r="AG7" s="71" t="s">
        <v>62</v>
      </c>
      <c r="AH7" s="72"/>
      <c r="AI7" s="72"/>
      <c r="AJ7" s="72"/>
      <c r="AK7" s="72"/>
      <c r="AL7" s="72"/>
      <c r="AN7" s="71" t="s">
        <v>63</v>
      </c>
      <c r="AO7" s="72"/>
      <c r="AP7" s="72"/>
      <c r="AQ7" s="72"/>
      <c r="AR7" s="72"/>
      <c r="AT7" s="71" t="s">
        <v>64</v>
      </c>
      <c r="AU7" s="72"/>
      <c r="AV7" s="72"/>
      <c r="AW7" s="72"/>
      <c r="AX7" s="72"/>
      <c r="AZ7" s="71" t="s">
        <v>65</v>
      </c>
      <c r="BA7" s="72"/>
      <c r="BB7" s="72"/>
      <c r="BC7" s="72"/>
      <c r="BD7" s="72"/>
      <c r="BE7" s="72"/>
      <c r="BF7" s="67"/>
      <c r="BG7" s="71" t="s">
        <v>66</v>
      </c>
      <c r="BH7" s="72"/>
      <c r="BI7" s="72"/>
      <c r="BJ7" s="72"/>
      <c r="BK7" s="72"/>
      <c r="BL7" s="72"/>
      <c r="BM7" s="67"/>
      <c r="BN7" s="71" t="s">
        <v>67</v>
      </c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67"/>
      <c r="CA7" s="71" t="s">
        <v>68</v>
      </c>
      <c r="CB7" s="72"/>
      <c r="CC7" s="72"/>
      <c r="CD7" s="72"/>
      <c r="CE7" s="72"/>
      <c r="CF7" s="67"/>
      <c r="CG7" s="71" t="s">
        <v>69</v>
      </c>
      <c r="CH7" s="73"/>
      <c r="CI7" s="73"/>
      <c r="CJ7" s="73"/>
      <c r="CK7" s="73"/>
      <c r="CL7" s="73"/>
      <c r="CM7" s="73"/>
      <c r="CN7" s="71" t="s">
        <v>70</v>
      </c>
      <c r="CO7" s="73"/>
      <c r="CP7" s="73"/>
      <c r="CQ7" s="73"/>
      <c r="CR7" s="73"/>
      <c r="CS7" s="73"/>
      <c r="CT7" s="67"/>
      <c r="CU7" s="71" t="s">
        <v>71</v>
      </c>
      <c r="CV7" s="72"/>
      <c r="CW7" s="72"/>
      <c r="CX7" s="72"/>
      <c r="CY7" s="72"/>
      <c r="CZ7" s="67"/>
      <c r="DA7" s="71" t="s">
        <v>72</v>
      </c>
      <c r="DB7" s="72"/>
      <c r="DC7" s="72"/>
      <c r="DD7" s="72"/>
      <c r="DE7" s="72"/>
      <c r="DF7" s="67"/>
      <c r="DG7" s="71" t="s">
        <v>73</v>
      </c>
      <c r="DH7" s="72"/>
      <c r="DI7" s="72"/>
      <c r="DJ7" s="72"/>
      <c r="DK7" s="72"/>
      <c r="DL7" s="67"/>
      <c r="DM7" s="71" t="s">
        <v>74</v>
      </c>
      <c r="DN7" s="72"/>
      <c r="DO7" s="72"/>
      <c r="DP7" s="72"/>
      <c r="DQ7" s="72"/>
      <c r="DR7" s="72"/>
      <c r="DS7" s="67"/>
      <c r="DT7" s="71" t="s">
        <v>75</v>
      </c>
      <c r="DU7" s="72"/>
      <c r="DV7" s="72"/>
      <c r="DW7" s="72"/>
      <c r="DX7" s="72"/>
      <c r="DY7" s="72"/>
      <c r="DZ7" s="67"/>
      <c r="EA7" s="71" t="s">
        <v>76</v>
      </c>
      <c r="EB7" s="72"/>
      <c r="EC7" s="72"/>
      <c r="ED7" s="72"/>
      <c r="EE7" s="72"/>
      <c r="EF7" s="72"/>
      <c r="EG7" s="67"/>
      <c r="EH7" s="71" t="s">
        <v>77</v>
      </c>
      <c r="EI7" s="72"/>
      <c r="EJ7" s="72"/>
      <c r="EK7" s="72"/>
      <c r="EL7" s="72"/>
      <c r="EM7" s="72"/>
    </row>
    <row r="8" spans="1:143" x14ac:dyDescent="0.4">
      <c r="B8" s="72"/>
      <c r="C8" s="72"/>
      <c r="D8" s="72"/>
      <c r="E8" s="72"/>
      <c r="F8" s="72"/>
      <c r="G8" s="72"/>
      <c r="H8" s="72"/>
      <c r="I8" s="72"/>
      <c r="J8" s="72"/>
      <c r="L8" s="74"/>
      <c r="M8" s="75"/>
      <c r="N8" s="75"/>
      <c r="O8" s="75"/>
      <c r="P8" s="75"/>
      <c r="Q8" s="75"/>
      <c r="S8" s="74"/>
      <c r="T8" s="75"/>
      <c r="U8" s="75"/>
      <c r="V8" s="75"/>
      <c r="W8" s="75"/>
      <c r="X8" s="75"/>
      <c r="Z8" s="74"/>
      <c r="AA8" s="75"/>
      <c r="AB8" s="75"/>
      <c r="AC8" s="75"/>
      <c r="AD8" s="75"/>
      <c r="AE8" s="75"/>
      <c r="AG8" s="74"/>
      <c r="AH8" s="75"/>
      <c r="AI8" s="75"/>
      <c r="AJ8" s="75"/>
      <c r="AK8" s="75"/>
      <c r="AL8" s="75"/>
      <c r="AN8" s="74"/>
      <c r="AO8" s="75"/>
      <c r="AP8" s="75"/>
      <c r="AQ8" s="75"/>
      <c r="AR8" s="75"/>
      <c r="AT8" s="74"/>
      <c r="AU8" s="75"/>
      <c r="AV8" s="75"/>
      <c r="AW8" s="75"/>
      <c r="AX8" s="75"/>
      <c r="AZ8" s="74"/>
      <c r="BA8" s="75"/>
      <c r="BB8" s="75"/>
      <c r="BC8" s="75"/>
      <c r="BD8" s="75"/>
      <c r="BE8" s="75"/>
      <c r="BF8" s="67"/>
      <c r="BG8" s="74"/>
      <c r="BH8" s="75"/>
      <c r="BI8" s="75"/>
      <c r="BJ8" s="75"/>
      <c r="BK8" s="75"/>
      <c r="BL8" s="75"/>
      <c r="BM8" s="67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67"/>
      <c r="CA8" s="75"/>
      <c r="CB8" s="75"/>
      <c r="CC8" s="75"/>
      <c r="CD8" s="75"/>
      <c r="CE8" s="75"/>
      <c r="CF8" s="67"/>
      <c r="CG8" s="74"/>
      <c r="CH8" s="75"/>
      <c r="CI8" s="75"/>
      <c r="CJ8" s="75"/>
      <c r="CK8" s="75"/>
      <c r="CL8" s="75"/>
      <c r="CM8" s="75"/>
      <c r="CN8" s="74"/>
      <c r="CO8" s="75"/>
      <c r="CP8" s="75"/>
      <c r="CQ8" s="75"/>
      <c r="CR8" s="75"/>
      <c r="CS8" s="75"/>
      <c r="CT8" s="67"/>
      <c r="CU8" s="74"/>
      <c r="CV8" s="75"/>
      <c r="CW8" s="75"/>
      <c r="CX8" s="75"/>
      <c r="CY8" s="75"/>
      <c r="CZ8" s="67"/>
      <c r="DA8" s="74"/>
      <c r="DB8" s="75"/>
      <c r="DC8" s="75"/>
      <c r="DD8" s="75"/>
      <c r="DE8" s="75"/>
      <c r="DF8" s="67"/>
      <c r="DG8" s="74"/>
      <c r="DH8" s="75"/>
      <c r="DI8" s="75"/>
      <c r="DJ8" s="75"/>
      <c r="DK8" s="75"/>
      <c r="DL8" s="67"/>
      <c r="DM8" s="74"/>
      <c r="DN8" s="75"/>
      <c r="DO8" s="75"/>
      <c r="DP8" s="75"/>
      <c r="DQ8" s="75"/>
      <c r="DR8" s="75"/>
      <c r="DS8" s="67"/>
      <c r="DT8" s="74"/>
      <c r="DU8" s="75"/>
      <c r="DV8" s="75"/>
      <c r="DW8" s="75"/>
      <c r="DX8" s="75"/>
      <c r="DY8" s="75"/>
      <c r="DZ8" s="67"/>
      <c r="EA8" s="74"/>
      <c r="EB8" s="75"/>
      <c r="EC8" s="75"/>
      <c r="ED8" s="75"/>
      <c r="EE8" s="75"/>
      <c r="EF8" s="75"/>
      <c r="EG8" s="67"/>
      <c r="EH8" s="74"/>
      <c r="EI8" s="75"/>
      <c r="EJ8" s="75"/>
      <c r="EK8" s="75"/>
      <c r="EL8" s="75"/>
      <c r="EM8" s="75"/>
    </row>
    <row r="9" spans="1:143" x14ac:dyDescent="0.4">
      <c r="B9" s="72" t="s">
        <v>51</v>
      </c>
      <c r="C9" s="72"/>
      <c r="D9" s="72" t="s">
        <v>56</v>
      </c>
      <c r="E9" s="76"/>
      <c r="F9" s="76"/>
      <c r="G9" s="76" t="s">
        <v>35</v>
      </c>
      <c r="H9" s="76" t="s">
        <v>57</v>
      </c>
      <c r="I9" s="76" t="s">
        <v>52</v>
      </c>
      <c r="J9" s="76" t="s">
        <v>43</v>
      </c>
      <c r="L9" s="72" t="s">
        <v>56</v>
      </c>
      <c r="M9" s="76"/>
      <c r="N9" s="76"/>
      <c r="O9" s="76"/>
      <c r="P9" s="76" t="s">
        <v>35</v>
      </c>
      <c r="Q9" s="76" t="s">
        <v>52</v>
      </c>
      <c r="S9" s="72" t="s">
        <v>56</v>
      </c>
      <c r="T9" s="76"/>
      <c r="U9" s="76"/>
      <c r="V9" s="76"/>
      <c r="W9" s="76" t="s">
        <v>35</v>
      </c>
      <c r="X9" s="76" t="s">
        <v>52</v>
      </c>
      <c r="Z9" s="72" t="s">
        <v>56</v>
      </c>
      <c r="AA9" s="76"/>
      <c r="AB9" s="76"/>
      <c r="AC9" s="76"/>
      <c r="AD9" s="76" t="s">
        <v>35</v>
      </c>
      <c r="AE9" s="76" t="s">
        <v>52</v>
      </c>
      <c r="AG9" s="72" t="s">
        <v>56</v>
      </c>
      <c r="AH9" s="76"/>
      <c r="AI9" s="76"/>
      <c r="AJ9" s="76"/>
      <c r="AK9" s="76" t="s">
        <v>35</v>
      </c>
      <c r="AL9" s="76" t="s">
        <v>52</v>
      </c>
      <c r="AN9" s="72" t="s">
        <v>56</v>
      </c>
      <c r="AO9" s="76"/>
      <c r="AP9" s="76"/>
      <c r="AQ9" s="76"/>
      <c r="AR9" s="76" t="s">
        <v>52</v>
      </c>
      <c r="AT9" s="72" t="s">
        <v>56</v>
      </c>
      <c r="AU9" s="76"/>
      <c r="AV9" s="76"/>
      <c r="AW9" s="76"/>
      <c r="AX9" s="76" t="s">
        <v>52</v>
      </c>
      <c r="AZ9" s="72" t="s">
        <v>56</v>
      </c>
      <c r="BA9" s="76"/>
      <c r="BB9" s="76"/>
      <c r="BC9" s="76"/>
      <c r="BD9" s="76" t="s">
        <v>35</v>
      </c>
      <c r="BE9" s="76" t="s">
        <v>52</v>
      </c>
      <c r="BF9" s="67"/>
      <c r="BG9" s="72" t="s">
        <v>56</v>
      </c>
      <c r="BH9" s="76"/>
      <c r="BI9" s="76"/>
      <c r="BJ9" s="76"/>
      <c r="BK9" s="76" t="s">
        <v>35</v>
      </c>
      <c r="BL9" s="76" t="s">
        <v>52</v>
      </c>
      <c r="BM9" s="67"/>
      <c r="BN9" s="72" t="s">
        <v>56</v>
      </c>
      <c r="BO9" s="76"/>
      <c r="BP9" s="76"/>
      <c r="BQ9" s="76"/>
      <c r="BR9" s="76"/>
      <c r="BS9" s="76"/>
      <c r="BT9" s="76"/>
      <c r="BU9" s="76"/>
      <c r="BV9" s="76"/>
      <c r="BW9" s="76"/>
      <c r="BX9" s="76" t="s">
        <v>35</v>
      </c>
      <c r="BY9" s="76" t="s">
        <v>52</v>
      </c>
      <c r="BZ9" s="67"/>
      <c r="CA9" s="72" t="s">
        <v>56</v>
      </c>
      <c r="CB9" s="76"/>
      <c r="CC9" s="76"/>
      <c r="CD9" s="76"/>
      <c r="CE9" s="76" t="s">
        <v>52</v>
      </c>
      <c r="CF9" s="67"/>
      <c r="CG9" s="72" t="s">
        <v>56</v>
      </c>
      <c r="CH9" s="76"/>
      <c r="CI9" s="76"/>
      <c r="CJ9" s="76"/>
      <c r="CK9" s="76" t="s">
        <v>35</v>
      </c>
      <c r="CL9" s="76" t="s">
        <v>52</v>
      </c>
      <c r="CM9" s="40"/>
      <c r="CN9" s="72" t="s">
        <v>56</v>
      </c>
      <c r="CO9" s="76"/>
      <c r="CP9" s="76"/>
      <c r="CQ9" s="76"/>
      <c r="CR9" s="76" t="s">
        <v>35</v>
      </c>
      <c r="CS9" s="76" t="s">
        <v>52</v>
      </c>
      <c r="CT9" s="67"/>
      <c r="CU9" s="72" t="s">
        <v>56</v>
      </c>
      <c r="CV9" s="76"/>
      <c r="CW9" s="76"/>
      <c r="CX9" s="76"/>
      <c r="CY9" s="76" t="s">
        <v>52</v>
      </c>
      <c r="CZ9" s="67"/>
      <c r="DA9" s="72" t="s">
        <v>56</v>
      </c>
      <c r="DB9" s="76"/>
      <c r="DC9" s="76"/>
      <c r="DD9" s="76"/>
      <c r="DE9" s="76" t="s">
        <v>52</v>
      </c>
      <c r="DF9" s="67"/>
      <c r="DG9" s="72" t="s">
        <v>56</v>
      </c>
      <c r="DH9" s="76"/>
      <c r="DI9" s="76"/>
      <c r="DJ9" s="76"/>
      <c r="DK9" s="76" t="s">
        <v>52</v>
      </c>
      <c r="DL9" s="67"/>
      <c r="DM9" s="72" t="s">
        <v>56</v>
      </c>
      <c r="DN9" s="76"/>
      <c r="DO9" s="76"/>
      <c r="DP9" s="76"/>
      <c r="DQ9" s="76" t="s">
        <v>35</v>
      </c>
      <c r="DR9" s="76" t="s">
        <v>52</v>
      </c>
      <c r="DS9" s="67"/>
      <c r="DT9" s="72" t="s">
        <v>56</v>
      </c>
      <c r="DU9" s="76"/>
      <c r="DV9" s="76"/>
      <c r="DW9" s="76"/>
      <c r="DX9" s="76" t="s">
        <v>35</v>
      </c>
      <c r="DY9" s="76" t="s">
        <v>52</v>
      </c>
      <c r="DZ9" s="67"/>
      <c r="EA9" s="72" t="s">
        <v>56</v>
      </c>
      <c r="EB9" s="76"/>
      <c r="EC9" s="76"/>
      <c r="ED9" s="76"/>
      <c r="EE9" s="76" t="s">
        <v>35</v>
      </c>
      <c r="EF9" s="76" t="s">
        <v>52</v>
      </c>
      <c r="EG9" s="67"/>
      <c r="EH9" s="72" t="s">
        <v>56</v>
      </c>
      <c r="EI9" s="76"/>
      <c r="EJ9" s="76"/>
      <c r="EK9" s="76"/>
      <c r="EL9" s="76" t="s">
        <v>35</v>
      </c>
      <c r="EM9" s="76" t="s">
        <v>52</v>
      </c>
    </row>
    <row r="10" spans="1:143" ht="13.5" thickBot="1" x14ac:dyDescent="0.45">
      <c r="B10" s="81" t="s">
        <v>53</v>
      </c>
      <c r="C10" s="81"/>
      <c r="D10" s="81" t="s">
        <v>27</v>
      </c>
      <c r="E10" s="80" t="s">
        <v>25</v>
      </c>
      <c r="F10" s="80" t="s">
        <v>36</v>
      </c>
      <c r="G10" s="80" t="s">
        <v>36</v>
      </c>
      <c r="H10" s="80" t="s">
        <v>36</v>
      </c>
      <c r="I10" s="80" t="s">
        <v>54</v>
      </c>
      <c r="J10" s="80" t="s">
        <v>38</v>
      </c>
      <c r="L10" s="81" t="s">
        <v>27</v>
      </c>
      <c r="M10" s="80" t="s">
        <v>25</v>
      </c>
      <c r="N10" s="80" t="s">
        <v>29</v>
      </c>
      <c r="O10" s="80" t="s">
        <v>36</v>
      </c>
      <c r="P10" s="80" t="s">
        <v>36</v>
      </c>
      <c r="Q10" s="80" t="s">
        <v>54</v>
      </c>
      <c r="S10" s="81" t="s">
        <v>27</v>
      </c>
      <c r="T10" s="80" t="s">
        <v>25</v>
      </c>
      <c r="U10" s="80" t="s">
        <v>29</v>
      </c>
      <c r="V10" s="80" t="s">
        <v>36</v>
      </c>
      <c r="W10" s="80" t="s">
        <v>36</v>
      </c>
      <c r="X10" s="80" t="s">
        <v>54</v>
      </c>
      <c r="Z10" s="81" t="s">
        <v>27</v>
      </c>
      <c r="AA10" s="80" t="s">
        <v>25</v>
      </c>
      <c r="AB10" s="80" t="s">
        <v>29</v>
      </c>
      <c r="AC10" s="80" t="s">
        <v>36</v>
      </c>
      <c r="AD10" s="80" t="s">
        <v>36</v>
      </c>
      <c r="AE10" s="80" t="s">
        <v>54</v>
      </c>
      <c r="AG10" s="81" t="s">
        <v>27</v>
      </c>
      <c r="AH10" s="80" t="s">
        <v>25</v>
      </c>
      <c r="AI10" s="80" t="s">
        <v>29</v>
      </c>
      <c r="AJ10" s="80" t="s">
        <v>36</v>
      </c>
      <c r="AK10" s="80" t="s">
        <v>36</v>
      </c>
      <c r="AL10" s="80" t="s">
        <v>54</v>
      </c>
      <c r="AN10" s="81" t="s">
        <v>27</v>
      </c>
      <c r="AO10" s="80" t="s">
        <v>25</v>
      </c>
      <c r="AP10" s="80" t="s">
        <v>29</v>
      </c>
      <c r="AQ10" s="80" t="s">
        <v>36</v>
      </c>
      <c r="AR10" s="80" t="s">
        <v>54</v>
      </c>
      <c r="AT10" s="81" t="s">
        <v>27</v>
      </c>
      <c r="AU10" s="80" t="s">
        <v>25</v>
      </c>
      <c r="AV10" s="80" t="s">
        <v>29</v>
      </c>
      <c r="AW10" s="80" t="s">
        <v>36</v>
      </c>
      <c r="AX10" s="80" t="s">
        <v>54</v>
      </c>
      <c r="AZ10" s="81" t="s">
        <v>27</v>
      </c>
      <c r="BA10" s="80" t="s">
        <v>25</v>
      </c>
      <c r="BB10" s="80" t="s">
        <v>29</v>
      </c>
      <c r="BC10" s="80" t="s">
        <v>36</v>
      </c>
      <c r="BD10" s="80" t="s">
        <v>36</v>
      </c>
      <c r="BE10" s="80" t="s">
        <v>54</v>
      </c>
      <c r="BF10" s="67"/>
      <c r="BG10" s="81" t="s">
        <v>27</v>
      </c>
      <c r="BH10" s="80" t="s">
        <v>25</v>
      </c>
      <c r="BI10" s="80" t="s">
        <v>29</v>
      </c>
      <c r="BJ10" s="80" t="s">
        <v>36</v>
      </c>
      <c r="BK10" s="80" t="s">
        <v>36</v>
      </c>
      <c r="BL10" s="80" t="s">
        <v>54</v>
      </c>
      <c r="BM10" s="67"/>
      <c r="BN10" s="81" t="s">
        <v>27</v>
      </c>
      <c r="BO10" s="80" t="s">
        <v>25</v>
      </c>
      <c r="BP10" s="80" t="s">
        <v>29</v>
      </c>
      <c r="BQ10" s="80" t="s">
        <v>25</v>
      </c>
      <c r="BR10" s="80" t="s">
        <v>29</v>
      </c>
      <c r="BS10" s="80" t="s">
        <v>25</v>
      </c>
      <c r="BT10" s="80" t="s">
        <v>29</v>
      </c>
      <c r="BU10" s="80" t="s">
        <v>25</v>
      </c>
      <c r="BV10" s="80" t="s">
        <v>29</v>
      </c>
      <c r="BW10" s="80" t="s">
        <v>36</v>
      </c>
      <c r="BX10" s="80" t="s">
        <v>36</v>
      </c>
      <c r="BY10" s="80" t="s">
        <v>54</v>
      </c>
      <c r="BZ10" s="67"/>
      <c r="CA10" s="81" t="s">
        <v>27</v>
      </c>
      <c r="CB10" s="80" t="s">
        <v>25</v>
      </c>
      <c r="CC10" s="80" t="s">
        <v>29</v>
      </c>
      <c r="CD10" s="80" t="s">
        <v>36</v>
      </c>
      <c r="CE10" s="80" t="s">
        <v>54</v>
      </c>
      <c r="CF10" s="67"/>
      <c r="CG10" s="81" t="s">
        <v>27</v>
      </c>
      <c r="CH10" s="80" t="s">
        <v>25</v>
      </c>
      <c r="CI10" s="80" t="s">
        <v>29</v>
      </c>
      <c r="CJ10" s="80" t="s">
        <v>36</v>
      </c>
      <c r="CK10" s="80" t="s">
        <v>36</v>
      </c>
      <c r="CL10" s="80" t="s">
        <v>54</v>
      </c>
      <c r="CM10" s="78"/>
      <c r="CN10" s="81" t="s">
        <v>27</v>
      </c>
      <c r="CO10" s="80" t="s">
        <v>25</v>
      </c>
      <c r="CP10" s="80" t="s">
        <v>29</v>
      </c>
      <c r="CQ10" s="80" t="s">
        <v>36</v>
      </c>
      <c r="CR10" s="80" t="s">
        <v>36</v>
      </c>
      <c r="CS10" s="80" t="s">
        <v>54</v>
      </c>
      <c r="CT10" s="67"/>
      <c r="CU10" s="81" t="s">
        <v>27</v>
      </c>
      <c r="CV10" s="80" t="s">
        <v>25</v>
      </c>
      <c r="CW10" s="80" t="s">
        <v>29</v>
      </c>
      <c r="CX10" s="80" t="s">
        <v>36</v>
      </c>
      <c r="CY10" s="80" t="s">
        <v>54</v>
      </c>
      <c r="CZ10" s="67"/>
      <c r="DA10" s="81" t="s">
        <v>27</v>
      </c>
      <c r="DB10" s="80" t="s">
        <v>25</v>
      </c>
      <c r="DC10" s="80" t="s">
        <v>29</v>
      </c>
      <c r="DD10" s="80" t="s">
        <v>36</v>
      </c>
      <c r="DE10" s="80" t="s">
        <v>54</v>
      </c>
      <c r="DF10" s="67"/>
      <c r="DG10" s="81" t="s">
        <v>27</v>
      </c>
      <c r="DH10" s="80" t="s">
        <v>25</v>
      </c>
      <c r="DI10" s="80" t="s">
        <v>29</v>
      </c>
      <c r="DJ10" s="80" t="s">
        <v>36</v>
      </c>
      <c r="DK10" s="80" t="s">
        <v>54</v>
      </c>
      <c r="DL10" s="67"/>
      <c r="DM10" s="81" t="s">
        <v>27</v>
      </c>
      <c r="DN10" s="80" t="s">
        <v>25</v>
      </c>
      <c r="DO10" s="80" t="s">
        <v>29</v>
      </c>
      <c r="DP10" s="80" t="s">
        <v>36</v>
      </c>
      <c r="DQ10" s="80" t="s">
        <v>36</v>
      </c>
      <c r="DR10" s="80" t="s">
        <v>54</v>
      </c>
      <c r="DS10" s="67"/>
      <c r="DT10" s="81" t="s">
        <v>27</v>
      </c>
      <c r="DU10" s="80" t="s">
        <v>25</v>
      </c>
      <c r="DV10" s="80" t="s">
        <v>29</v>
      </c>
      <c r="DW10" s="80" t="s">
        <v>36</v>
      </c>
      <c r="DX10" s="80" t="s">
        <v>36</v>
      </c>
      <c r="DY10" s="80" t="s">
        <v>54</v>
      </c>
      <c r="DZ10" s="67"/>
      <c r="EA10" s="81" t="s">
        <v>27</v>
      </c>
      <c r="EB10" s="80" t="s">
        <v>25</v>
      </c>
      <c r="EC10" s="80" t="s">
        <v>29</v>
      </c>
      <c r="ED10" s="80" t="s">
        <v>36</v>
      </c>
      <c r="EE10" s="80" t="s">
        <v>36</v>
      </c>
      <c r="EF10" s="80" t="s">
        <v>54</v>
      </c>
      <c r="EG10" s="67"/>
      <c r="EH10" s="81" t="s">
        <v>27</v>
      </c>
      <c r="EI10" s="80" t="s">
        <v>25</v>
      </c>
      <c r="EJ10" s="80" t="s">
        <v>29</v>
      </c>
      <c r="EK10" s="80" t="s">
        <v>36</v>
      </c>
      <c r="EL10" s="80" t="s">
        <v>36</v>
      </c>
      <c r="EM10" s="80" t="s">
        <v>54</v>
      </c>
    </row>
    <row r="11" spans="1:143" x14ac:dyDescent="0.4">
      <c r="L11" s="71"/>
      <c r="M11" s="76"/>
      <c r="N11" s="76"/>
      <c r="O11" s="76"/>
      <c r="P11" s="76"/>
      <c r="Q11" s="76"/>
      <c r="S11" s="71"/>
      <c r="T11" s="76"/>
      <c r="U11" s="76"/>
      <c r="V11" s="76"/>
      <c r="W11" s="76"/>
      <c r="X11" s="76"/>
      <c r="Z11" s="71"/>
      <c r="AA11" s="76"/>
      <c r="AB11" s="76"/>
      <c r="AC11" s="76"/>
      <c r="AD11" s="76"/>
      <c r="AE11" s="76"/>
      <c r="AG11" s="71"/>
      <c r="AH11" s="76"/>
      <c r="AI11" s="76"/>
      <c r="AJ11" s="76"/>
      <c r="AK11" s="76"/>
      <c r="AL11" s="76"/>
      <c r="AN11" s="71"/>
      <c r="AO11" s="76"/>
      <c r="AP11" s="76"/>
      <c r="AQ11" s="76"/>
      <c r="AR11" s="76"/>
      <c r="AT11" s="71"/>
      <c r="AU11" s="76"/>
      <c r="AV11" s="76"/>
      <c r="AW11" s="76"/>
      <c r="AX11" s="76"/>
      <c r="AZ11" s="71"/>
      <c r="BA11" s="76"/>
      <c r="BB11" s="76"/>
      <c r="BC11" s="76"/>
      <c r="BD11" s="76"/>
      <c r="BE11" s="76"/>
      <c r="BF11" s="67"/>
      <c r="BG11" s="76"/>
      <c r="BH11" s="76"/>
      <c r="BI11" s="76"/>
      <c r="BJ11" s="76"/>
      <c r="BK11" s="76"/>
      <c r="BL11" s="76"/>
      <c r="BM11" s="67"/>
      <c r="BN11" s="83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67"/>
      <c r="CA11" s="83"/>
      <c r="CB11" s="76"/>
      <c r="CC11" s="76"/>
      <c r="CD11" s="76"/>
      <c r="CE11" s="76"/>
      <c r="CF11" s="67"/>
      <c r="CG11" s="83"/>
      <c r="CH11" s="84"/>
      <c r="CI11" s="84"/>
      <c r="CJ11" s="84"/>
      <c r="CK11" s="84"/>
      <c r="CL11" s="84"/>
      <c r="CM11" s="84"/>
      <c r="CN11" s="83"/>
      <c r="CO11" s="84"/>
      <c r="CP11" s="84"/>
      <c r="CQ11" s="84"/>
      <c r="CR11" s="84"/>
      <c r="CS11" s="84"/>
      <c r="CT11" s="67"/>
      <c r="CU11" s="83"/>
      <c r="CZ11" s="67"/>
      <c r="DA11" s="83"/>
      <c r="DF11" s="67"/>
      <c r="DG11" s="83"/>
      <c r="DL11" s="67"/>
      <c r="DM11" s="83"/>
      <c r="DS11" s="67"/>
      <c r="DT11" s="83"/>
      <c r="DZ11" s="67"/>
      <c r="EA11" s="83"/>
      <c r="EG11" s="67"/>
      <c r="EH11" s="83"/>
    </row>
    <row r="12" spans="1:143" x14ac:dyDescent="0.4">
      <c r="B12" s="85">
        <v>43830</v>
      </c>
      <c r="C12" s="85"/>
      <c r="D12" s="85">
        <v>43814</v>
      </c>
      <c r="E12" s="40">
        <f>SUM(M12,T12,AA12,AH12,AO12,AU12,BA12,BH12,BO12,BQ12,BS12,BU12,CB12,CH12,CO12,CV12,DB12,DH12,DN12,DU12,EB12,EI12)</f>
        <v>0</v>
      </c>
      <c r="F12" s="40">
        <f>SUM(O12,V12,AC12,AJ12,AQ12,AW12,BC12,BK12,BW12,CD12,CJ12,CQ12,CX12,DD12,DJ12,DP12,DW12,ED12,EK12)</f>
        <v>0</v>
      </c>
      <c r="G12" s="40">
        <f>SUM(P12,W12,AD12,AK12,BD12,BX12,CK12,CR12,DQ12,DX12,EE12,EL12)</f>
        <v>0</v>
      </c>
      <c r="H12" s="39">
        <v>0</v>
      </c>
      <c r="I12" s="40">
        <f>SUM(E12:H12)</f>
        <v>0</v>
      </c>
      <c r="J12" s="40"/>
      <c r="L12" s="85">
        <v>43814</v>
      </c>
      <c r="M12" s="40"/>
      <c r="N12" s="101"/>
      <c r="O12" s="40"/>
      <c r="P12" s="40"/>
      <c r="Q12" s="40">
        <f>SUM(M12,O12,P12)</f>
        <v>0</v>
      </c>
      <c r="S12" s="85">
        <v>43814</v>
      </c>
      <c r="T12" s="40"/>
      <c r="U12" s="40"/>
      <c r="V12" s="40"/>
      <c r="W12" s="40"/>
      <c r="X12" s="40">
        <v>0</v>
      </c>
      <c r="Z12" s="85">
        <v>43814</v>
      </c>
      <c r="AA12" s="40"/>
      <c r="AB12" s="40"/>
      <c r="AC12" s="40"/>
      <c r="AD12" s="40"/>
      <c r="AE12" s="40">
        <v>0</v>
      </c>
      <c r="AG12" s="85">
        <v>43814</v>
      </c>
      <c r="AH12" s="40"/>
      <c r="AI12" s="40"/>
      <c r="AJ12" s="40"/>
      <c r="AK12" s="40"/>
      <c r="AL12" s="40">
        <v>0</v>
      </c>
      <c r="AN12" s="85">
        <v>43814</v>
      </c>
      <c r="AO12" s="40"/>
      <c r="AP12" s="40"/>
      <c r="AQ12" s="40"/>
      <c r="AR12" s="40">
        <v>0</v>
      </c>
      <c r="AT12" s="85">
        <v>43814</v>
      </c>
      <c r="AU12" s="40"/>
      <c r="AV12" s="87">
        <v>0</v>
      </c>
      <c r="AW12" s="40"/>
      <c r="AX12" s="40">
        <v>0</v>
      </c>
      <c r="AZ12" s="85">
        <v>43814</v>
      </c>
      <c r="BA12" s="40"/>
      <c r="BB12" s="87"/>
      <c r="BC12" s="40"/>
      <c r="BD12" s="40"/>
      <c r="BE12" s="40">
        <f t="shared" ref="BE12:BE71" si="0">SUM(BA12,BC12,BD12)</f>
        <v>0</v>
      </c>
      <c r="BF12" s="67"/>
      <c r="BG12" s="85">
        <v>43814</v>
      </c>
      <c r="BI12" s="40"/>
      <c r="BJ12" s="87"/>
      <c r="BL12" s="40">
        <v>0</v>
      </c>
      <c r="BM12" s="67"/>
      <c r="BN12" s="85">
        <v>43814</v>
      </c>
      <c r="BO12" s="40"/>
      <c r="BP12" s="87"/>
      <c r="BQ12" s="40"/>
      <c r="BR12" s="87"/>
      <c r="BS12" s="40"/>
      <c r="BT12" s="87"/>
      <c r="BU12" s="40"/>
      <c r="BV12" s="87"/>
      <c r="BW12" s="40"/>
      <c r="BX12" s="40"/>
      <c r="BY12" s="40">
        <f>SUM(BO12,BQ12,BS12,BU12,BW12)</f>
        <v>0</v>
      </c>
      <c r="BZ12" s="67"/>
      <c r="CA12" s="85">
        <v>43814</v>
      </c>
      <c r="CB12" s="40"/>
      <c r="CC12" s="87"/>
      <c r="CD12" s="40"/>
      <c r="CE12" s="40">
        <f t="shared" ref="CE12:CE72" si="1">SUM(CB12,CD12)</f>
        <v>0</v>
      </c>
      <c r="CF12" s="67"/>
      <c r="CG12" s="85">
        <v>43814</v>
      </c>
      <c r="CH12" s="40"/>
      <c r="CI12" s="102"/>
      <c r="CJ12" s="40"/>
      <c r="CK12" s="40"/>
      <c r="CL12" s="40">
        <f t="shared" ref="CL12:CL72" si="2">SUM(CJ12:CK12,CH12)</f>
        <v>0</v>
      </c>
      <c r="CM12" s="40"/>
      <c r="CN12" s="85">
        <v>43814</v>
      </c>
      <c r="CO12" s="40"/>
      <c r="CP12" s="101"/>
      <c r="CQ12" s="40"/>
      <c r="CR12" s="40"/>
      <c r="CS12" s="40">
        <f t="shared" ref="CS12:CS71" si="3">SUM(CO12,CQ12,CR12)</f>
        <v>0</v>
      </c>
      <c r="CT12" s="85"/>
      <c r="CU12" s="85">
        <v>43814</v>
      </c>
      <c r="CZ12" s="67"/>
      <c r="DA12" s="85">
        <v>43814</v>
      </c>
      <c r="DB12" s="40"/>
      <c r="DC12" s="40"/>
      <c r="DD12" s="40"/>
      <c r="DE12" s="40">
        <v>0</v>
      </c>
      <c r="DF12" s="67"/>
      <c r="DG12" s="85">
        <v>43814</v>
      </c>
      <c r="DH12" s="40"/>
      <c r="DI12" s="40"/>
      <c r="DJ12" s="40"/>
      <c r="DK12" s="40">
        <v>0</v>
      </c>
      <c r="DL12" s="67"/>
      <c r="DM12" s="85">
        <v>43814</v>
      </c>
      <c r="DN12" s="40"/>
      <c r="DO12" s="87"/>
      <c r="DP12" s="40"/>
      <c r="DQ12" s="40"/>
      <c r="DR12" s="40">
        <f t="shared" ref="DR12:DR72" si="4">SUM(DN12,DP12,DQ12)</f>
        <v>0</v>
      </c>
      <c r="DS12" s="67"/>
      <c r="DT12" s="85">
        <v>43814</v>
      </c>
      <c r="DU12" s="40"/>
      <c r="DV12" s="87"/>
      <c r="DW12" s="40"/>
      <c r="DX12" s="40"/>
      <c r="DY12" s="40">
        <f t="shared" ref="DY12:DY72" si="5">SUM(DU12,DW12,DX12)</f>
        <v>0</v>
      </c>
      <c r="DZ12" s="67"/>
      <c r="EA12" s="85">
        <v>43814</v>
      </c>
      <c r="EB12" s="40"/>
      <c r="EC12" s="87"/>
      <c r="ED12" s="40"/>
      <c r="EE12" s="40"/>
      <c r="EF12" s="40">
        <f t="shared" ref="EF12:EF72" si="6">SUM(EB12,ED12,EE12)</f>
        <v>0</v>
      </c>
      <c r="EG12" s="67"/>
      <c r="EH12" s="85">
        <v>43814</v>
      </c>
      <c r="EI12" s="40"/>
      <c r="EJ12" s="87"/>
      <c r="EK12" s="40"/>
      <c r="EL12" s="40"/>
      <c r="EM12" s="40">
        <f t="shared" ref="EM12:EM72" si="7">SUM(EI12,EK12,EL12)</f>
        <v>0</v>
      </c>
    </row>
    <row r="13" spans="1:143" x14ac:dyDescent="0.4">
      <c r="B13" s="85">
        <v>44012</v>
      </c>
      <c r="C13" s="85"/>
      <c r="D13" s="85">
        <v>43997</v>
      </c>
      <c r="E13" s="40">
        <f t="shared" ref="E13:E76" si="8">SUM(M13,T13,AA13,AH13,AO13,AU13,BA13,BH13,BO13,BQ13,BS13,BU13,CB13,CH13,CO13,CV13,DB13,DH13,DN13,DU13,EB13,EI13)</f>
        <v>0</v>
      </c>
      <c r="F13" s="40">
        <f t="shared" ref="F13:F76" si="9">SUM(O13,V13,AC13,AJ13,AQ13,AW13,BC13,BK13,BW13,CD13,CJ13,CQ13,CX13,DD13,DJ13,DP13,DW13,ED13,EK13)</f>
        <v>22446425</v>
      </c>
      <c r="G13" s="40">
        <f t="shared" ref="G13:G76" si="10">SUM(P13,W13,AD13,AK13,BD13,BX13,CK13,CR13,DQ13,DX13,EE13,EL13)</f>
        <v>0</v>
      </c>
      <c r="H13" s="39">
        <v>0</v>
      </c>
      <c r="I13" s="40">
        <f t="shared" ref="I13:I76" si="11">SUM(E13:H13)</f>
        <v>22446425</v>
      </c>
      <c r="J13" s="40">
        <f>SUM(I12:I13)</f>
        <v>22446425</v>
      </c>
      <c r="L13" s="85">
        <v>43997</v>
      </c>
      <c r="M13" s="40"/>
      <c r="N13" s="101"/>
      <c r="O13" s="40"/>
      <c r="P13" s="40"/>
      <c r="Q13" s="40">
        <f t="shared" ref="Q13:Q76" si="12">SUM(M13,O13,P13)</f>
        <v>0</v>
      </c>
      <c r="S13" s="85">
        <v>43997</v>
      </c>
      <c r="T13" s="40"/>
      <c r="U13" s="40"/>
      <c r="V13" s="40"/>
      <c r="W13" s="40"/>
      <c r="X13" s="40">
        <v>0</v>
      </c>
      <c r="Z13" s="85">
        <v>43997</v>
      </c>
      <c r="AA13" s="40"/>
      <c r="AB13" s="40"/>
      <c r="AC13" s="40"/>
      <c r="AD13" s="40"/>
      <c r="AE13" s="40">
        <v>0</v>
      </c>
      <c r="AG13" s="85">
        <v>43997</v>
      </c>
      <c r="AH13" s="40"/>
      <c r="AI13" s="40"/>
      <c r="AJ13" s="40"/>
      <c r="AK13" s="40"/>
      <c r="AL13" s="40">
        <v>0</v>
      </c>
      <c r="AN13" s="85">
        <v>43997</v>
      </c>
      <c r="AO13" s="40"/>
      <c r="AP13" s="40"/>
      <c r="AQ13" s="40"/>
      <c r="AR13" s="40">
        <v>0</v>
      </c>
      <c r="AT13" s="85">
        <v>43997</v>
      </c>
      <c r="AU13" s="40"/>
      <c r="AV13" s="87">
        <v>0</v>
      </c>
      <c r="AW13" s="40"/>
      <c r="AX13" s="40">
        <v>0</v>
      </c>
      <c r="AZ13" s="85">
        <v>43997</v>
      </c>
      <c r="BA13" s="40"/>
      <c r="BB13" s="87"/>
      <c r="BC13" s="40"/>
      <c r="BD13" s="40"/>
      <c r="BE13" s="40">
        <f t="shared" si="0"/>
        <v>0</v>
      </c>
      <c r="BF13" s="67"/>
      <c r="BG13" s="85">
        <v>43997</v>
      </c>
      <c r="BI13" s="40"/>
      <c r="BJ13" s="87"/>
      <c r="BL13" s="40">
        <v>0</v>
      </c>
      <c r="BM13" s="67"/>
      <c r="BN13" s="85">
        <v>43997</v>
      </c>
      <c r="BO13" s="40"/>
      <c r="BP13" s="87"/>
      <c r="BQ13" s="40"/>
      <c r="BR13" s="87"/>
      <c r="BS13" s="40"/>
      <c r="BT13" s="87"/>
      <c r="BU13" s="40"/>
      <c r="BV13" s="87"/>
      <c r="BW13" s="40">
        <f t="shared" ref="BW13:BW63" si="13">(BO13*BP13/2)+(BQ13*BR13/2)+(BS13*BT13/2)+(BU13*BV13/2)+BW14</f>
        <v>18269725</v>
      </c>
      <c r="BX13" s="40"/>
      <c r="BY13" s="40">
        <f t="shared" ref="BY13:BY76" si="14">SUM(BO13,BQ13,BS13,BU13,BW13)</f>
        <v>18269725</v>
      </c>
      <c r="BZ13" s="67"/>
      <c r="CA13" s="85">
        <v>43997</v>
      </c>
      <c r="CB13" s="40"/>
      <c r="CC13" s="87"/>
      <c r="CD13" s="40">
        <f t="shared" ref="CD13:CD71" si="15">CB13*CC13/2+CD14</f>
        <v>4176700</v>
      </c>
      <c r="CE13" s="40">
        <f t="shared" si="1"/>
        <v>4176700</v>
      </c>
      <c r="CF13" s="67"/>
      <c r="CG13" s="85">
        <v>43997</v>
      </c>
      <c r="CH13" s="40"/>
      <c r="CI13" s="102"/>
      <c r="CJ13" s="40"/>
      <c r="CK13" s="40"/>
      <c r="CL13" s="40">
        <f t="shared" si="2"/>
        <v>0</v>
      </c>
      <c r="CM13" s="40"/>
      <c r="CN13" s="85">
        <v>43997</v>
      </c>
      <c r="CO13" s="40"/>
      <c r="CP13" s="101"/>
      <c r="CQ13" s="40"/>
      <c r="CR13" s="40"/>
      <c r="CS13" s="40">
        <f t="shared" si="3"/>
        <v>0</v>
      </c>
      <c r="CT13" s="85"/>
      <c r="CU13" s="85">
        <v>43997</v>
      </c>
      <c r="CZ13" s="67"/>
      <c r="DA13" s="85">
        <v>43997</v>
      </c>
      <c r="DB13" s="40"/>
      <c r="DC13" s="40"/>
      <c r="DD13" s="40"/>
      <c r="DE13" s="40">
        <v>0</v>
      </c>
      <c r="DF13" s="67"/>
      <c r="DG13" s="85">
        <v>43997</v>
      </c>
      <c r="DH13" s="40"/>
      <c r="DI13" s="40"/>
      <c r="DJ13" s="40"/>
      <c r="DK13" s="40">
        <v>0</v>
      </c>
      <c r="DL13" s="67"/>
      <c r="DM13" s="85">
        <v>43997</v>
      </c>
      <c r="DN13" s="40"/>
      <c r="DO13" s="87"/>
      <c r="DP13" s="40"/>
      <c r="DQ13" s="40"/>
      <c r="DR13" s="40">
        <f t="shared" si="4"/>
        <v>0</v>
      </c>
      <c r="DS13" s="67"/>
      <c r="DT13" s="85">
        <v>43997</v>
      </c>
      <c r="DU13" s="40"/>
      <c r="DV13" s="87"/>
      <c r="DW13" s="40"/>
      <c r="DX13" s="40"/>
      <c r="DY13" s="40">
        <f t="shared" si="5"/>
        <v>0</v>
      </c>
      <c r="DZ13" s="67"/>
      <c r="EA13" s="85">
        <v>43997</v>
      </c>
      <c r="EB13" s="40"/>
      <c r="EC13" s="87"/>
      <c r="ED13" s="40"/>
      <c r="EE13" s="40"/>
      <c r="EF13" s="40">
        <f t="shared" si="6"/>
        <v>0</v>
      </c>
      <c r="EG13" s="67"/>
      <c r="EH13" s="85">
        <v>43997</v>
      </c>
      <c r="EI13" s="40"/>
      <c r="EJ13" s="87"/>
      <c r="EK13" s="40"/>
      <c r="EL13" s="40"/>
      <c r="EM13" s="40">
        <f t="shared" si="7"/>
        <v>0</v>
      </c>
    </row>
    <row r="14" spans="1:143" x14ac:dyDescent="0.4">
      <c r="B14" s="85">
        <v>44196</v>
      </c>
      <c r="C14" s="85"/>
      <c r="D14" s="85">
        <v>44180</v>
      </c>
      <c r="E14" s="40">
        <f t="shared" si="8"/>
        <v>11705000</v>
      </c>
      <c r="F14" s="40">
        <f t="shared" si="9"/>
        <v>22963493.75</v>
      </c>
      <c r="G14" s="40">
        <f t="shared" si="10"/>
        <v>0</v>
      </c>
      <c r="H14" s="39">
        <v>0</v>
      </c>
      <c r="I14" s="40">
        <f t="shared" si="11"/>
        <v>34668493.75</v>
      </c>
      <c r="J14" s="40"/>
      <c r="L14" s="85">
        <v>44180</v>
      </c>
      <c r="M14" s="40">
        <v>11705000</v>
      </c>
      <c r="N14" s="101">
        <v>2.75E-2</v>
      </c>
      <c r="O14" s="40">
        <f t="shared" ref="O14:O52" si="16">(M14+P14)*N14/2+O15</f>
        <v>517068.75</v>
      </c>
      <c r="P14" s="40"/>
      <c r="Q14" s="40">
        <f t="shared" si="12"/>
        <v>12222068.75</v>
      </c>
      <c r="S14" s="85">
        <v>44180</v>
      </c>
      <c r="T14" s="40"/>
      <c r="U14" s="40"/>
      <c r="V14" s="40"/>
      <c r="W14" s="40"/>
      <c r="X14" s="40">
        <v>0</v>
      </c>
      <c r="Z14" s="85">
        <v>44180</v>
      </c>
      <c r="AA14" s="40"/>
      <c r="AB14" s="40"/>
      <c r="AC14" s="40"/>
      <c r="AD14" s="40"/>
      <c r="AE14" s="40">
        <v>0</v>
      </c>
      <c r="AG14" s="85">
        <v>44180</v>
      </c>
      <c r="AH14" s="40"/>
      <c r="AI14" s="40"/>
      <c r="AJ14" s="40"/>
      <c r="AK14" s="40"/>
      <c r="AL14" s="40">
        <v>0</v>
      </c>
      <c r="AN14" s="85">
        <v>44180</v>
      </c>
      <c r="AO14" s="40"/>
      <c r="AP14" s="40"/>
      <c r="AQ14" s="40"/>
      <c r="AR14" s="40">
        <v>0</v>
      </c>
      <c r="AT14" s="85">
        <v>44180</v>
      </c>
      <c r="AU14" s="40"/>
      <c r="AV14" s="87">
        <v>0</v>
      </c>
      <c r="AW14" s="40"/>
      <c r="AX14" s="40">
        <v>0</v>
      </c>
      <c r="AZ14" s="85">
        <v>44180</v>
      </c>
      <c r="BA14" s="40"/>
      <c r="BB14" s="87"/>
      <c r="BC14" s="40"/>
      <c r="BD14" s="40"/>
      <c r="BE14" s="40">
        <f t="shared" si="0"/>
        <v>0</v>
      </c>
      <c r="BF14" s="67"/>
      <c r="BG14" s="85">
        <v>44180</v>
      </c>
      <c r="BI14" s="40"/>
      <c r="BJ14" s="87"/>
      <c r="BL14" s="40">
        <v>0</v>
      </c>
      <c r="BM14" s="67"/>
      <c r="BN14" s="85">
        <v>44180</v>
      </c>
      <c r="BO14" s="40"/>
      <c r="BP14" s="87"/>
      <c r="BQ14" s="40"/>
      <c r="BR14" s="87"/>
      <c r="BS14" s="40"/>
      <c r="BT14" s="87"/>
      <c r="BU14" s="40"/>
      <c r="BV14" s="87"/>
      <c r="BW14" s="40">
        <f t="shared" si="13"/>
        <v>18269725</v>
      </c>
      <c r="BX14" s="40"/>
      <c r="BY14" s="40">
        <f t="shared" si="14"/>
        <v>18269725</v>
      </c>
      <c r="BZ14" s="67"/>
      <c r="CA14" s="85">
        <v>44180</v>
      </c>
      <c r="CB14" s="40"/>
      <c r="CC14" s="87"/>
      <c r="CD14" s="40">
        <f t="shared" si="15"/>
        <v>4176700</v>
      </c>
      <c r="CE14" s="40">
        <f t="shared" si="1"/>
        <v>4176700</v>
      </c>
      <c r="CF14" s="67"/>
      <c r="CG14" s="85">
        <v>44180</v>
      </c>
      <c r="CH14" s="40"/>
      <c r="CI14" s="102"/>
      <c r="CJ14" s="40"/>
      <c r="CK14" s="40"/>
      <c r="CL14" s="40">
        <f t="shared" si="2"/>
        <v>0</v>
      </c>
      <c r="CM14" s="40"/>
      <c r="CN14" s="85">
        <v>44180</v>
      </c>
      <c r="CO14" s="40"/>
      <c r="CP14" s="101"/>
      <c r="CQ14" s="40"/>
      <c r="CR14" s="40"/>
      <c r="CS14" s="40">
        <f t="shared" si="3"/>
        <v>0</v>
      </c>
      <c r="CT14" s="85"/>
      <c r="CU14" s="85">
        <v>44180</v>
      </c>
      <c r="CZ14" s="67"/>
      <c r="DA14" s="85">
        <v>44180</v>
      </c>
      <c r="DB14" s="40"/>
      <c r="DC14" s="40"/>
      <c r="DD14" s="40"/>
      <c r="DE14" s="40">
        <v>0</v>
      </c>
      <c r="DF14" s="67"/>
      <c r="DG14" s="85">
        <v>44180</v>
      </c>
      <c r="DH14" s="40"/>
      <c r="DI14" s="40"/>
      <c r="DJ14" s="40"/>
      <c r="DK14" s="40">
        <v>0</v>
      </c>
      <c r="DL14" s="67"/>
      <c r="DM14" s="85">
        <v>44180</v>
      </c>
      <c r="DN14" s="40"/>
      <c r="DO14" s="87"/>
      <c r="DP14" s="40"/>
      <c r="DQ14" s="40"/>
      <c r="DR14" s="40">
        <f t="shared" si="4"/>
        <v>0</v>
      </c>
      <c r="DS14" s="67"/>
      <c r="DT14" s="85">
        <v>44180</v>
      </c>
      <c r="DU14" s="40"/>
      <c r="DV14" s="87"/>
      <c r="DW14" s="40"/>
      <c r="DX14" s="40"/>
      <c r="DY14" s="40">
        <f t="shared" si="5"/>
        <v>0</v>
      </c>
      <c r="DZ14" s="67"/>
      <c r="EA14" s="85">
        <v>44180</v>
      </c>
      <c r="EB14" s="40"/>
      <c r="EC14" s="87"/>
      <c r="ED14" s="40"/>
      <c r="EE14" s="40"/>
      <c r="EF14" s="40">
        <f t="shared" si="6"/>
        <v>0</v>
      </c>
      <c r="EG14" s="67"/>
      <c r="EH14" s="85">
        <v>44180</v>
      </c>
      <c r="EI14" s="40"/>
      <c r="EJ14" s="87"/>
      <c r="EK14" s="40"/>
      <c r="EL14" s="40"/>
      <c r="EM14" s="40">
        <f t="shared" si="7"/>
        <v>0</v>
      </c>
    </row>
    <row r="15" spans="1:143" x14ac:dyDescent="0.4">
      <c r="B15" s="85">
        <v>44377</v>
      </c>
      <c r="C15" s="85"/>
      <c r="D15" s="85">
        <v>44362</v>
      </c>
      <c r="E15" s="40">
        <f t="shared" si="8"/>
        <v>0</v>
      </c>
      <c r="F15" s="40">
        <f t="shared" si="9"/>
        <v>22802550</v>
      </c>
      <c r="G15" s="40">
        <f t="shared" si="10"/>
        <v>0</v>
      </c>
      <c r="H15" s="39">
        <v>0</v>
      </c>
      <c r="I15" s="40">
        <f t="shared" si="11"/>
        <v>22802550</v>
      </c>
      <c r="J15" s="40">
        <f>SUM(I14:I15)</f>
        <v>57471043.75</v>
      </c>
      <c r="L15" s="85">
        <v>44362</v>
      </c>
      <c r="M15" s="40"/>
      <c r="N15" s="101"/>
      <c r="O15" s="40">
        <f t="shared" si="16"/>
        <v>356125</v>
      </c>
      <c r="P15" s="40"/>
      <c r="Q15" s="40">
        <f t="shared" si="12"/>
        <v>356125</v>
      </c>
      <c r="S15" s="85">
        <v>44362</v>
      </c>
      <c r="T15" s="40"/>
      <c r="U15" s="40"/>
      <c r="V15" s="40"/>
      <c r="W15" s="40"/>
      <c r="X15" s="40">
        <v>0</v>
      </c>
      <c r="Z15" s="85">
        <v>44362</v>
      </c>
      <c r="AA15" s="40"/>
      <c r="AB15" s="40"/>
      <c r="AC15" s="40"/>
      <c r="AD15" s="40"/>
      <c r="AE15" s="40">
        <v>0</v>
      </c>
      <c r="AG15" s="85">
        <v>44362</v>
      </c>
      <c r="AH15" s="40"/>
      <c r="AI15" s="40"/>
      <c r="AJ15" s="40"/>
      <c r="AK15" s="40"/>
      <c r="AL15" s="40">
        <v>0</v>
      </c>
      <c r="AN15" s="85">
        <v>44362</v>
      </c>
      <c r="AO15" s="40"/>
      <c r="AP15" s="40"/>
      <c r="AQ15" s="40"/>
      <c r="AR15" s="40">
        <v>0</v>
      </c>
      <c r="AT15" s="85">
        <v>44362</v>
      </c>
      <c r="AU15" s="40"/>
      <c r="AV15" s="87">
        <v>0</v>
      </c>
      <c r="AW15" s="40"/>
      <c r="AX15" s="40">
        <v>0</v>
      </c>
      <c r="AZ15" s="85">
        <v>44362</v>
      </c>
      <c r="BA15" s="40"/>
      <c r="BB15" s="87"/>
      <c r="BC15" s="40"/>
      <c r="BD15" s="40"/>
      <c r="BE15" s="40">
        <f t="shared" si="0"/>
        <v>0</v>
      </c>
      <c r="BF15" s="67"/>
      <c r="BG15" s="85">
        <v>44362</v>
      </c>
      <c r="BI15" s="40"/>
      <c r="BJ15" s="87"/>
      <c r="BL15" s="40">
        <v>0</v>
      </c>
      <c r="BM15" s="67"/>
      <c r="BN15" s="85">
        <v>44362</v>
      </c>
      <c r="BO15" s="40"/>
      <c r="BP15" s="87"/>
      <c r="BQ15" s="40"/>
      <c r="BR15" s="87"/>
      <c r="BS15" s="40"/>
      <c r="BT15" s="87"/>
      <c r="BU15" s="40"/>
      <c r="BV15" s="87"/>
      <c r="BW15" s="40">
        <f t="shared" si="13"/>
        <v>18269725</v>
      </c>
      <c r="BX15" s="40"/>
      <c r="BY15" s="40">
        <f t="shared" si="14"/>
        <v>18269725</v>
      </c>
      <c r="BZ15" s="67"/>
      <c r="CA15" s="85">
        <v>44362</v>
      </c>
      <c r="CB15" s="40"/>
      <c r="CC15" s="87"/>
      <c r="CD15" s="40">
        <f t="shared" si="15"/>
        <v>4176700</v>
      </c>
      <c r="CE15" s="40">
        <f t="shared" si="1"/>
        <v>4176700</v>
      </c>
      <c r="CF15" s="67"/>
      <c r="CG15" s="85">
        <v>44362</v>
      </c>
      <c r="CH15" s="40"/>
      <c r="CI15" s="102"/>
      <c r="CJ15" s="40"/>
      <c r="CK15" s="40"/>
      <c r="CL15" s="40">
        <f t="shared" si="2"/>
        <v>0</v>
      </c>
      <c r="CM15" s="40"/>
      <c r="CN15" s="85">
        <v>44362</v>
      </c>
      <c r="CO15" s="40"/>
      <c r="CP15" s="101"/>
      <c r="CQ15" s="40"/>
      <c r="CR15" s="40"/>
      <c r="CS15" s="40">
        <f t="shared" si="3"/>
        <v>0</v>
      </c>
      <c r="CT15" s="85"/>
      <c r="CU15" s="85">
        <v>44362</v>
      </c>
      <c r="CZ15" s="67"/>
      <c r="DA15" s="85">
        <v>44362</v>
      </c>
      <c r="DB15" s="40"/>
      <c r="DC15" s="40"/>
      <c r="DD15" s="40"/>
      <c r="DE15" s="40">
        <v>0</v>
      </c>
      <c r="DF15" s="67"/>
      <c r="DG15" s="85">
        <v>44362</v>
      </c>
      <c r="DH15" s="40"/>
      <c r="DI15" s="40"/>
      <c r="DJ15" s="40"/>
      <c r="DK15" s="40">
        <v>0</v>
      </c>
      <c r="DL15" s="67"/>
      <c r="DM15" s="85">
        <v>44362</v>
      </c>
      <c r="DN15" s="40"/>
      <c r="DO15" s="87"/>
      <c r="DP15" s="40"/>
      <c r="DQ15" s="40"/>
      <c r="DR15" s="40">
        <f t="shared" si="4"/>
        <v>0</v>
      </c>
      <c r="DS15" s="67"/>
      <c r="DT15" s="85">
        <v>44362</v>
      </c>
      <c r="DU15" s="40"/>
      <c r="DV15" s="87"/>
      <c r="DW15" s="40"/>
      <c r="DX15" s="40"/>
      <c r="DY15" s="40">
        <f t="shared" si="5"/>
        <v>0</v>
      </c>
      <c r="DZ15" s="67"/>
      <c r="EA15" s="85">
        <v>44362</v>
      </c>
      <c r="EB15" s="40"/>
      <c r="EC15" s="87"/>
      <c r="ED15" s="40"/>
      <c r="EE15" s="40"/>
      <c r="EF15" s="40">
        <f t="shared" si="6"/>
        <v>0</v>
      </c>
      <c r="EG15" s="67"/>
      <c r="EH15" s="85">
        <v>44362</v>
      </c>
      <c r="EI15" s="40"/>
      <c r="EJ15" s="87"/>
      <c r="EK15" s="40"/>
      <c r="EL15" s="40"/>
      <c r="EM15" s="40">
        <f t="shared" si="7"/>
        <v>0</v>
      </c>
    </row>
    <row r="16" spans="1:143" x14ac:dyDescent="0.4">
      <c r="B16" s="85">
        <v>44561</v>
      </c>
      <c r="C16" s="85"/>
      <c r="D16" s="85">
        <v>44545</v>
      </c>
      <c r="E16" s="40">
        <f t="shared" si="8"/>
        <v>620000</v>
      </c>
      <c r="F16" s="40">
        <f t="shared" si="9"/>
        <v>22802550</v>
      </c>
      <c r="G16" s="40">
        <f t="shared" si="10"/>
        <v>0</v>
      </c>
      <c r="H16" s="39">
        <v>0</v>
      </c>
      <c r="I16" s="40">
        <f t="shared" si="11"/>
        <v>23422550</v>
      </c>
      <c r="J16" s="40"/>
      <c r="L16" s="85">
        <v>44545</v>
      </c>
      <c r="M16" s="40">
        <v>620000</v>
      </c>
      <c r="N16" s="101">
        <v>2.75E-2</v>
      </c>
      <c r="O16" s="40">
        <f t="shared" si="16"/>
        <v>356125</v>
      </c>
      <c r="P16" s="40"/>
      <c r="Q16" s="40">
        <f t="shared" si="12"/>
        <v>976125</v>
      </c>
      <c r="S16" s="85">
        <v>44545</v>
      </c>
      <c r="T16" s="40"/>
      <c r="U16" s="40"/>
      <c r="V16" s="40"/>
      <c r="W16" s="40"/>
      <c r="X16" s="40">
        <v>0</v>
      </c>
      <c r="Z16" s="85">
        <v>44545</v>
      </c>
      <c r="AA16" s="40"/>
      <c r="AB16" s="40"/>
      <c r="AC16" s="40"/>
      <c r="AD16" s="40"/>
      <c r="AE16" s="40">
        <v>0</v>
      </c>
      <c r="AG16" s="85">
        <v>44545</v>
      </c>
      <c r="AH16" s="40"/>
      <c r="AI16" s="40"/>
      <c r="AJ16" s="40"/>
      <c r="AK16" s="40"/>
      <c r="AL16" s="40">
        <v>0</v>
      </c>
      <c r="AN16" s="85">
        <v>44545</v>
      </c>
      <c r="AO16" s="40"/>
      <c r="AP16" s="40"/>
      <c r="AQ16" s="40"/>
      <c r="AR16" s="40">
        <v>0</v>
      </c>
      <c r="AT16" s="85">
        <v>44545</v>
      </c>
      <c r="AU16" s="40"/>
      <c r="AV16" s="87">
        <v>0</v>
      </c>
      <c r="AW16" s="40"/>
      <c r="AX16" s="40">
        <v>0</v>
      </c>
      <c r="AZ16" s="85">
        <v>44545</v>
      </c>
      <c r="BA16" s="40"/>
      <c r="BB16" s="87"/>
      <c r="BC16" s="40"/>
      <c r="BD16" s="40"/>
      <c r="BE16" s="40">
        <f t="shared" si="0"/>
        <v>0</v>
      </c>
      <c r="BF16" s="67"/>
      <c r="BG16" s="85">
        <v>44545</v>
      </c>
      <c r="BI16" s="40"/>
      <c r="BJ16" s="87"/>
      <c r="BL16" s="40">
        <v>0</v>
      </c>
      <c r="BM16" s="67"/>
      <c r="BN16" s="85">
        <v>44545</v>
      </c>
      <c r="BO16" s="40"/>
      <c r="BP16" s="87"/>
      <c r="BQ16" s="40"/>
      <c r="BR16" s="87"/>
      <c r="BS16" s="40"/>
      <c r="BT16" s="87"/>
      <c r="BU16" s="40"/>
      <c r="BV16" s="87"/>
      <c r="BW16" s="40">
        <f t="shared" si="13"/>
        <v>18269725</v>
      </c>
      <c r="BX16" s="40"/>
      <c r="BY16" s="40">
        <f t="shared" si="14"/>
        <v>18269725</v>
      </c>
      <c r="BZ16" s="67"/>
      <c r="CA16" s="85">
        <v>44545</v>
      </c>
      <c r="CB16" s="40"/>
      <c r="CC16" s="87"/>
      <c r="CD16" s="40">
        <f t="shared" si="15"/>
        <v>4176700</v>
      </c>
      <c r="CE16" s="40">
        <f t="shared" si="1"/>
        <v>4176700</v>
      </c>
      <c r="CF16" s="67"/>
      <c r="CG16" s="85">
        <v>44545</v>
      </c>
      <c r="CH16" s="40"/>
      <c r="CI16" s="102"/>
      <c r="CJ16" s="40"/>
      <c r="CK16" s="40"/>
      <c r="CL16" s="40">
        <f t="shared" si="2"/>
        <v>0</v>
      </c>
      <c r="CM16" s="40"/>
      <c r="CN16" s="85">
        <v>44545</v>
      </c>
      <c r="CO16" s="40"/>
      <c r="CP16" s="101"/>
      <c r="CQ16" s="40"/>
      <c r="CR16" s="40"/>
      <c r="CS16" s="40">
        <f t="shared" si="3"/>
        <v>0</v>
      </c>
      <c r="CT16" s="85"/>
      <c r="CU16" s="85">
        <v>44545</v>
      </c>
      <c r="CZ16" s="67"/>
      <c r="DA16" s="85">
        <v>44545</v>
      </c>
      <c r="DB16" s="40"/>
      <c r="DC16" s="40"/>
      <c r="DD16" s="40"/>
      <c r="DE16" s="40">
        <v>0</v>
      </c>
      <c r="DF16" s="67"/>
      <c r="DG16" s="85">
        <v>44545</v>
      </c>
      <c r="DH16" s="40"/>
      <c r="DI16" s="40"/>
      <c r="DJ16" s="40"/>
      <c r="DK16" s="40">
        <v>0</v>
      </c>
      <c r="DL16" s="67"/>
      <c r="DM16" s="85">
        <v>44545</v>
      </c>
      <c r="DN16" s="40"/>
      <c r="DO16" s="87"/>
      <c r="DP16" s="40"/>
      <c r="DQ16" s="40"/>
      <c r="DR16" s="40">
        <f t="shared" si="4"/>
        <v>0</v>
      </c>
      <c r="DS16" s="67"/>
      <c r="DT16" s="85">
        <v>44545</v>
      </c>
      <c r="DU16" s="40"/>
      <c r="DV16" s="87"/>
      <c r="DW16" s="40"/>
      <c r="DX16" s="40"/>
      <c r="DY16" s="40">
        <f t="shared" si="5"/>
        <v>0</v>
      </c>
      <c r="DZ16" s="67"/>
      <c r="EA16" s="85">
        <v>44545</v>
      </c>
      <c r="EB16" s="40"/>
      <c r="EC16" s="87"/>
      <c r="ED16" s="40"/>
      <c r="EE16" s="40"/>
      <c r="EF16" s="40">
        <f t="shared" si="6"/>
        <v>0</v>
      </c>
      <c r="EG16" s="67"/>
      <c r="EH16" s="85">
        <v>44545</v>
      </c>
      <c r="EM16" s="40">
        <f t="shared" si="7"/>
        <v>0</v>
      </c>
    </row>
    <row r="17" spans="2:143" x14ac:dyDescent="0.4">
      <c r="B17" s="85">
        <v>44742</v>
      </c>
      <c r="C17" s="85"/>
      <c r="D17" s="85">
        <v>44727</v>
      </c>
      <c r="E17" s="40">
        <f t="shared" si="8"/>
        <v>0</v>
      </c>
      <c r="F17" s="40">
        <f t="shared" si="9"/>
        <v>22794025</v>
      </c>
      <c r="G17" s="40">
        <f t="shared" si="10"/>
        <v>0</v>
      </c>
      <c r="H17" s="39">
        <v>0</v>
      </c>
      <c r="I17" s="40">
        <f t="shared" si="11"/>
        <v>22794025</v>
      </c>
      <c r="J17" s="40">
        <f>SUM(I16:I17)</f>
        <v>46216575</v>
      </c>
      <c r="L17" s="85">
        <v>44727</v>
      </c>
      <c r="M17" s="40"/>
      <c r="N17" s="101"/>
      <c r="O17" s="40">
        <f t="shared" si="16"/>
        <v>347600</v>
      </c>
      <c r="P17" s="40"/>
      <c r="Q17" s="40">
        <f t="shared" si="12"/>
        <v>347600</v>
      </c>
      <c r="S17" s="85">
        <v>44727</v>
      </c>
      <c r="T17" s="40"/>
      <c r="U17" s="40"/>
      <c r="V17" s="40"/>
      <c r="W17" s="40"/>
      <c r="X17" s="40">
        <v>0</v>
      </c>
      <c r="Z17" s="85">
        <v>44727</v>
      </c>
      <c r="AA17" s="40"/>
      <c r="AB17" s="40"/>
      <c r="AC17" s="40"/>
      <c r="AD17" s="40"/>
      <c r="AE17" s="40">
        <v>0</v>
      </c>
      <c r="AG17" s="85">
        <v>44727</v>
      </c>
      <c r="AH17" s="40"/>
      <c r="AI17" s="40"/>
      <c r="AJ17" s="40"/>
      <c r="AK17" s="40"/>
      <c r="AL17" s="40">
        <v>0</v>
      </c>
      <c r="AN17" s="85">
        <v>44727</v>
      </c>
      <c r="AO17" s="40"/>
      <c r="AP17" s="40"/>
      <c r="AQ17" s="40"/>
      <c r="AR17" s="40">
        <v>0</v>
      </c>
      <c r="AT17" s="85">
        <v>44727</v>
      </c>
      <c r="AU17" s="40"/>
      <c r="AV17" s="87">
        <v>0</v>
      </c>
      <c r="AW17" s="40"/>
      <c r="AX17" s="40">
        <v>0</v>
      </c>
      <c r="AZ17" s="85">
        <v>44727</v>
      </c>
      <c r="BA17" s="40"/>
      <c r="BB17" s="87"/>
      <c r="BC17" s="40"/>
      <c r="BD17" s="40"/>
      <c r="BE17" s="40">
        <f t="shared" si="0"/>
        <v>0</v>
      </c>
      <c r="BF17" s="67"/>
      <c r="BG17" s="85">
        <v>44727</v>
      </c>
      <c r="BH17" s="88"/>
      <c r="BI17" s="40"/>
      <c r="BJ17" s="89"/>
      <c r="BK17" s="90"/>
      <c r="BL17" s="40">
        <v>0</v>
      </c>
      <c r="BM17" s="67"/>
      <c r="BN17" s="85">
        <v>44727</v>
      </c>
      <c r="BO17" s="40"/>
      <c r="BP17" s="87"/>
      <c r="BQ17" s="40"/>
      <c r="BR17" s="87"/>
      <c r="BS17" s="40"/>
      <c r="BT17" s="87"/>
      <c r="BU17" s="40"/>
      <c r="BV17" s="87"/>
      <c r="BW17" s="40">
        <f t="shared" si="13"/>
        <v>18269725</v>
      </c>
      <c r="BX17" s="40"/>
      <c r="BY17" s="40">
        <f t="shared" si="14"/>
        <v>18269725</v>
      </c>
      <c r="BZ17" s="67"/>
      <c r="CA17" s="85">
        <v>44727</v>
      </c>
      <c r="CB17" s="40"/>
      <c r="CC17" s="87"/>
      <c r="CD17" s="40">
        <f t="shared" si="15"/>
        <v>4176700</v>
      </c>
      <c r="CE17" s="40">
        <f t="shared" si="1"/>
        <v>4176700</v>
      </c>
      <c r="CF17" s="67"/>
      <c r="CG17" s="85">
        <v>44727</v>
      </c>
      <c r="CH17" s="40"/>
      <c r="CI17" s="102"/>
      <c r="CJ17" s="40"/>
      <c r="CK17" s="40"/>
      <c r="CL17" s="40">
        <f t="shared" si="2"/>
        <v>0</v>
      </c>
      <c r="CM17" s="40"/>
      <c r="CN17" s="85">
        <v>44727</v>
      </c>
      <c r="CO17" s="40"/>
      <c r="CP17" s="101"/>
      <c r="CQ17" s="40"/>
      <c r="CR17" s="40"/>
      <c r="CS17" s="40">
        <f t="shared" si="3"/>
        <v>0</v>
      </c>
      <c r="CT17" s="85"/>
      <c r="CU17" s="85">
        <v>44727</v>
      </c>
      <c r="CZ17" s="67"/>
      <c r="DA17" s="85">
        <v>44727</v>
      </c>
      <c r="DB17" s="40"/>
      <c r="DC17" s="40"/>
      <c r="DD17" s="40"/>
      <c r="DE17" s="40">
        <v>0</v>
      </c>
      <c r="DF17" s="67"/>
      <c r="DG17" s="85">
        <v>44727</v>
      </c>
      <c r="DH17" s="40"/>
      <c r="DI17" s="40"/>
      <c r="DJ17" s="40"/>
      <c r="DK17" s="40">
        <v>0</v>
      </c>
      <c r="DL17" s="67"/>
      <c r="DM17" s="85">
        <v>44727</v>
      </c>
      <c r="DN17" s="40"/>
      <c r="DO17" s="87"/>
      <c r="DP17" s="40"/>
      <c r="DQ17" s="40"/>
      <c r="DR17" s="40">
        <f t="shared" si="4"/>
        <v>0</v>
      </c>
      <c r="DS17" s="67"/>
      <c r="DT17" s="85">
        <v>44727</v>
      </c>
      <c r="DU17" s="40"/>
      <c r="DV17" s="87"/>
      <c r="DW17" s="40"/>
      <c r="DX17" s="40"/>
      <c r="DY17" s="40">
        <f t="shared" si="5"/>
        <v>0</v>
      </c>
      <c r="DZ17" s="67"/>
      <c r="EA17" s="85">
        <v>44727</v>
      </c>
      <c r="EB17" s="40"/>
      <c r="EC17" s="87"/>
      <c r="ED17" s="40"/>
      <c r="EE17" s="40"/>
      <c r="EF17" s="40">
        <f t="shared" si="6"/>
        <v>0</v>
      </c>
      <c r="EG17" s="67"/>
      <c r="EH17" s="85">
        <v>44727</v>
      </c>
      <c r="EM17" s="40">
        <f t="shared" si="7"/>
        <v>0</v>
      </c>
    </row>
    <row r="18" spans="2:143" x14ac:dyDescent="0.4">
      <c r="B18" s="85">
        <v>44926</v>
      </c>
      <c r="C18" s="85"/>
      <c r="D18" s="85">
        <v>44910</v>
      </c>
      <c r="E18" s="40">
        <f t="shared" si="8"/>
        <v>19680000</v>
      </c>
      <c r="F18" s="40">
        <f t="shared" si="9"/>
        <v>22794025</v>
      </c>
      <c r="G18" s="40">
        <f t="shared" si="10"/>
        <v>0</v>
      </c>
      <c r="H18" s="39">
        <v>0</v>
      </c>
      <c r="I18" s="40">
        <f t="shared" si="11"/>
        <v>42474025</v>
      </c>
      <c r="J18" s="40"/>
      <c r="L18" s="85">
        <v>44910</v>
      </c>
      <c r="M18" s="40">
        <v>19680000</v>
      </c>
      <c r="N18" s="101">
        <v>2.75E-2</v>
      </c>
      <c r="O18" s="40">
        <f t="shared" si="16"/>
        <v>347600</v>
      </c>
      <c r="P18" s="40"/>
      <c r="Q18" s="40">
        <f t="shared" si="12"/>
        <v>20027600</v>
      </c>
      <c r="S18" s="85">
        <v>44910</v>
      </c>
      <c r="T18" s="40"/>
      <c r="U18" s="40"/>
      <c r="V18" s="40"/>
      <c r="W18" s="40"/>
      <c r="X18" s="40">
        <v>0</v>
      </c>
      <c r="Z18" s="85">
        <v>44910</v>
      </c>
      <c r="AA18" s="40"/>
      <c r="AB18" s="40"/>
      <c r="AC18" s="40"/>
      <c r="AD18" s="40"/>
      <c r="AE18" s="40">
        <v>0</v>
      </c>
      <c r="AG18" s="85">
        <v>44910</v>
      </c>
      <c r="AH18" s="40"/>
      <c r="AI18" s="40"/>
      <c r="AJ18" s="40"/>
      <c r="AK18" s="40"/>
      <c r="AL18" s="40">
        <v>0</v>
      </c>
      <c r="AN18" s="85">
        <v>44910</v>
      </c>
      <c r="AO18" s="40"/>
      <c r="AP18" s="40"/>
      <c r="AQ18" s="40"/>
      <c r="AR18" s="40">
        <v>0</v>
      </c>
      <c r="AT18" s="85">
        <v>44910</v>
      </c>
      <c r="AU18" s="40"/>
      <c r="AV18" s="87">
        <v>0</v>
      </c>
      <c r="AW18" s="40"/>
      <c r="AX18" s="40">
        <v>0</v>
      </c>
      <c r="AZ18" s="85">
        <v>44910</v>
      </c>
      <c r="BA18" s="40"/>
      <c r="BB18" s="87"/>
      <c r="BC18" s="40"/>
      <c r="BD18" s="40"/>
      <c r="BE18" s="40">
        <f t="shared" si="0"/>
        <v>0</v>
      </c>
      <c r="BF18" s="67"/>
      <c r="BG18" s="85">
        <v>44910</v>
      </c>
      <c r="BH18" s="88"/>
      <c r="BI18" s="40"/>
      <c r="BJ18" s="89"/>
      <c r="BK18" s="90"/>
      <c r="BL18" s="40">
        <v>0</v>
      </c>
      <c r="BM18" s="67"/>
      <c r="BN18" s="85">
        <v>44910</v>
      </c>
      <c r="BO18" s="40"/>
      <c r="BP18" s="87"/>
      <c r="BQ18" s="40"/>
      <c r="BR18" s="87"/>
      <c r="BS18" s="40"/>
      <c r="BT18" s="87"/>
      <c r="BU18" s="40"/>
      <c r="BV18" s="87"/>
      <c r="BW18" s="40">
        <f t="shared" si="13"/>
        <v>18269725</v>
      </c>
      <c r="BX18" s="40"/>
      <c r="BY18" s="40">
        <f t="shared" si="14"/>
        <v>18269725</v>
      </c>
      <c r="BZ18" s="67"/>
      <c r="CA18" s="85">
        <v>44910</v>
      </c>
      <c r="CB18" s="40"/>
      <c r="CC18" s="87"/>
      <c r="CD18" s="40">
        <f t="shared" si="15"/>
        <v>4176700</v>
      </c>
      <c r="CE18" s="40">
        <f t="shared" si="1"/>
        <v>4176700</v>
      </c>
      <c r="CF18" s="67"/>
      <c r="CG18" s="85">
        <v>44910</v>
      </c>
      <c r="CH18" s="40"/>
      <c r="CI18" s="102"/>
      <c r="CJ18" s="40"/>
      <c r="CK18" s="40"/>
      <c r="CL18" s="40">
        <f t="shared" si="2"/>
        <v>0</v>
      </c>
      <c r="CM18" s="40"/>
      <c r="CN18" s="85">
        <v>44910</v>
      </c>
      <c r="CO18" s="40"/>
      <c r="CP18" s="101"/>
      <c r="CQ18" s="40"/>
      <c r="CR18" s="40"/>
      <c r="CS18" s="40">
        <f t="shared" si="3"/>
        <v>0</v>
      </c>
      <c r="CT18" s="85"/>
      <c r="CU18" s="85">
        <v>44910</v>
      </c>
      <c r="CZ18" s="67"/>
      <c r="DA18" s="85">
        <v>44910</v>
      </c>
      <c r="DB18" s="40"/>
      <c r="DC18" s="40"/>
      <c r="DD18" s="40"/>
      <c r="DE18" s="40">
        <v>0</v>
      </c>
      <c r="DF18" s="67"/>
      <c r="DG18" s="85">
        <v>44910</v>
      </c>
      <c r="DH18" s="40"/>
      <c r="DI18" s="40"/>
      <c r="DJ18" s="40"/>
      <c r="DK18" s="40">
        <v>0</v>
      </c>
      <c r="DL18" s="67"/>
      <c r="DM18" s="85">
        <v>44910</v>
      </c>
      <c r="DN18" s="40"/>
      <c r="DO18" s="87"/>
      <c r="DP18" s="40"/>
      <c r="DQ18" s="40"/>
      <c r="DR18" s="40">
        <f t="shared" si="4"/>
        <v>0</v>
      </c>
      <c r="DS18" s="67"/>
      <c r="DT18" s="85">
        <v>44910</v>
      </c>
      <c r="DU18" s="40"/>
      <c r="DV18" s="87"/>
      <c r="DW18" s="40"/>
      <c r="DX18" s="40"/>
      <c r="DY18" s="40">
        <f t="shared" si="5"/>
        <v>0</v>
      </c>
      <c r="DZ18" s="67"/>
      <c r="EA18" s="85">
        <v>44910</v>
      </c>
      <c r="EF18" s="40">
        <f t="shared" si="6"/>
        <v>0</v>
      </c>
      <c r="EG18" s="67"/>
      <c r="EH18" s="85">
        <v>44910</v>
      </c>
      <c r="EM18" s="40">
        <f t="shared" si="7"/>
        <v>0</v>
      </c>
    </row>
    <row r="19" spans="2:143" x14ac:dyDescent="0.4">
      <c r="B19" s="85">
        <v>45107</v>
      </c>
      <c r="C19" s="85"/>
      <c r="D19" s="85">
        <v>45092</v>
      </c>
      <c r="E19" s="40">
        <f t="shared" si="8"/>
        <v>5600000</v>
      </c>
      <c r="F19" s="40">
        <f t="shared" si="9"/>
        <v>22523425</v>
      </c>
      <c r="G19" s="40">
        <f t="shared" si="10"/>
        <v>0</v>
      </c>
      <c r="H19" s="39">
        <v>0</v>
      </c>
      <c r="I19" s="40">
        <f t="shared" si="11"/>
        <v>28123425</v>
      </c>
      <c r="J19" s="40">
        <f>SUM(I18:I19)</f>
        <v>70597450</v>
      </c>
      <c r="L19" s="85">
        <v>45092</v>
      </c>
      <c r="M19" s="40">
        <v>5600000</v>
      </c>
      <c r="N19" s="101">
        <v>2.75E-2</v>
      </c>
      <c r="O19" s="40">
        <f t="shared" si="16"/>
        <v>77000</v>
      </c>
      <c r="P19" s="40"/>
      <c r="Q19" s="40">
        <f t="shared" si="12"/>
        <v>5677000</v>
      </c>
      <c r="S19" s="85">
        <v>45092</v>
      </c>
      <c r="T19" s="40"/>
      <c r="U19" s="40"/>
      <c r="V19" s="40"/>
      <c r="W19" s="40"/>
      <c r="X19" s="40">
        <v>0</v>
      </c>
      <c r="Z19" s="85">
        <v>45092</v>
      </c>
      <c r="AA19" s="40"/>
      <c r="AB19" s="40"/>
      <c r="AC19" s="40"/>
      <c r="AD19" s="40"/>
      <c r="AE19" s="40">
        <v>0</v>
      </c>
      <c r="AG19" s="85">
        <v>45092</v>
      </c>
      <c r="AH19" s="40"/>
      <c r="AI19" s="40"/>
      <c r="AJ19" s="40"/>
      <c r="AK19" s="40"/>
      <c r="AL19" s="40">
        <v>0</v>
      </c>
      <c r="AN19" s="85">
        <v>45092</v>
      </c>
      <c r="AO19" s="40"/>
      <c r="AP19" s="40"/>
      <c r="AQ19" s="40"/>
      <c r="AR19" s="40">
        <v>0</v>
      </c>
      <c r="AT19" s="85">
        <v>45092</v>
      </c>
      <c r="AU19" s="40"/>
      <c r="AV19" s="87">
        <v>0</v>
      </c>
      <c r="AW19" s="40"/>
      <c r="AX19" s="40">
        <v>0</v>
      </c>
      <c r="AZ19" s="85">
        <v>45092</v>
      </c>
      <c r="BA19" s="40"/>
      <c r="BB19" s="87"/>
      <c r="BC19" s="40"/>
      <c r="BD19" s="40"/>
      <c r="BE19" s="40">
        <f t="shared" si="0"/>
        <v>0</v>
      </c>
      <c r="BF19" s="67"/>
      <c r="BG19" s="85">
        <v>45092</v>
      </c>
      <c r="BH19" s="88"/>
      <c r="BI19" s="40"/>
      <c r="BJ19" s="89"/>
      <c r="BK19" s="91"/>
      <c r="BL19" s="40">
        <v>0</v>
      </c>
      <c r="BM19" s="67"/>
      <c r="BN19" s="85">
        <v>45092</v>
      </c>
      <c r="BO19" s="40"/>
      <c r="BP19" s="87"/>
      <c r="BQ19" s="40"/>
      <c r="BR19" s="87"/>
      <c r="BS19" s="40"/>
      <c r="BT19" s="87"/>
      <c r="BU19" s="40"/>
      <c r="BV19" s="87"/>
      <c r="BW19" s="40">
        <f t="shared" si="13"/>
        <v>18269725</v>
      </c>
      <c r="BX19" s="40"/>
      <c r="BY19" s="40">
        <f t="shared" si="14"/>
        <v>18269725</v>
      </c>
      <c r="BZ19" s="67"/>
      <c r="CA19" s="85">
        <v>45092</v>
      </c>
      <c r="CB19" s="40"/>
      <c r="CC19" s="87"/>
      <c r="CD19" s="40">
        <f t="shared" si="15"/>
        <v>4176700</v>
      </c>
      <c r="CE19" s="40">
        <f t="shared" si="1"/>
        <v>4176700</v>
      </c>
      <c r="CF19" s="67"/>
      <c r="CG19" s="85">
        <v>45092</v>
      </c>
      <c r="CH19" s="40"/>
      <c r="CI19" s="102"/>
      <c r="CJ19" s="40"/>
      <c r="CK19" s="40"/>
      <c r="CL19" s="40">
        <f t="shared" si="2"/>
        <v>0</v>
      </c>
      <c r="CM19" s="40"/>
      <c r="CN19" s="85">
        <v>45092</v>
      </c>
      <c r="CO19" s="40"/>
      <c r="CP19" s="101"/>
      <c r="CQ19" s="40"/>
      <c r="CR19" s="40"/>
      <c r="CS19" s="40">
        <f t="shared" si="3"/>
        <v>0</v>
      </c>
      <c r="CT19" s="85"/>
      <c r="CU19" s="85">
        <v>45092</v>
      </c>
      <c r="CZ19" s="67"/>
      <c r="DA19" s="85">
        <v>45092</v>
      </c>
      <c r="DB19" s="40"/>
      <c r="DC19" s="40"/>
      <c r="DD19" s="40"/>
      <c r="DE19" s="40">
        <v>0</v>
      </c>
      <c r="DF19" s="67"/>
      <c r="DG19" s="85">
        <v>45092</v>
      </c>
      <c r="DH19" s="40"/>
      <c r="DI19" s="40"/>
      <c r="DJ19" s="40"/>
      <c r="DK19" s="40">
        <v>0</v>
      </c>
      <c r="DL19" s="67"/>
      <c r="DM19" s="85">
        <v>45092</v>
      </c>
      <c r="DN19" s="40"/>
      <c r="DO19" s="87"/>
      <c r="DP19" s="40"/>
      <c r="DQ19" s="40"/>
      <c r="DR19" s="40">
        <f t="shared" si="4"/>
        <v>0</v>
      </c>
      <c r="DS19" s="67"/>
      <c r="DT19" s="85">
        <v>45092</v>
      </c>
      <c r="DU19" s="40"/>
      <c r="DV19" s="87"/>
      <c r="DW19" s="40"/>
      <c r="DX19" s="40"/>
      <c r="DY19" s="40">
        <f t="shared" si="5"/>
        <v>0</v>
      </c>
      <c r="DZ19" s="67"/>
      <c r="EA19" s="85">
        <v>45092</v>
      </c>
      <c r="EF19" s="40">
        <f t="shared" si="6"/>
        <v>0</v>
      </c>
      <c r="EG19" s="67"/>
      <c r="EH19" s="85">
        <v>45092</v>
      </c>
      <c r="EM19" s="40">
        <f t="shared" si="7"/>
        <v>0</v>
      </c>
    </row>
    <row r="20" spans="2:143" x14ac:dyDescent="0.4">
      <c r="B20" s="85">
        <v>45291</v>
      </c>
      <c r="C20" s="85"/>
      <c r="D20" s="85">
        <v>45275</v>
      </c>
      <c r="E20" s="40">
        <f t="shared" si="8"/>
        <v>0</v>
      </c>
      <c r="F20" s="40">
        <f t="shared" si="9"/>
        <v>22446425</v>
      </c>
      <c r="G20" s="40">
        <f t="shared" si="10"/>
        <v>0</v>
      </c>
      <c r="H20" s="39">
        <v>0</v>
      </c>
      <c r="I20" s="40">
        <f t="shared" si="11"/>
        <v>22446425</v>
      </c>
      <c r="J20" s="40"/>
      <c r="L20" s="85">
        <v>45275</v>
      </c>
      <c r="M20" s="40"/>
      <c r="N20" s="101"/>
      <c r="O20" s="40">
        <f t="shared" si="16"/>
        <v>0</v>
      </c>
      <c r="P20" s="40"/>
      <c r="Q20" s="40">
        <f t="shared" si="12"/>
        <v>0</v>
      </c>
      <c r="S20" s="85">
        <v>45275</v>
      </c>
      <c r="T20" s="40"/>
      <c r="U20" s="40"/>
      <c r="V20" s="40"/>
      <c r="W20" s="40"/>
      <c r="X20" s="40">
        <v>0</v>
      </c>
      <c r="Z20" s="85">
        <v>45275</v>
      </c>
      <c r="AA20" s="40"/>
      <c r="AB20" s="40"/>
      <c r="AC20" s="40"/>
      <c r="AD20" s="40"/>
      <c r="AE20" s="40">
        <v>0</v>
      </c>
      <c r="AG20" s="85">
        <v>45275</v>
      </c>
      <c r="AH20" s="40"/>
      <c r="AI20" s="40"/>
      <c r="AJ20" s="40"/>
      <c r="AK20" s="40"/>
      <c r="AL20" s="40">
        <v>0</v>
      </c>
      <c r="AN20" s="85">
        <v>45275</v>
      </c>
      <c r="AO20" s="40"/>
      <c r="AP20" s="40"/>
      <c r="AQ20" s="40"/>
      <c r="AR20" s="40">
        <v>0</v>
      </c>
      <c r="AT20" s="85">
        <v>45275</v>
      </c>
      <c r="AU20" s="40"/>
      <c r="AV20" s="87">
        <v>0</v>
      </c>
      <c r="AW20" s="40"/>
      <c r="AX20" s="40">
        <v>0</v>
      </c>
      <c r="AZ20" s="85">
        <v>45275</v>
      </c>
      <c r="BA20" s="40"/>
      <c r="BB20" s="87"/>
      <c r="BC20" s="40"/>
      <c r="BD20" s="40"/>
      <c r="BE20" s="40">
        <f t="shared" si="0"/>
        <v>0</v>
      </c>
      <c r="BF20" s="67"/>
      <c r="BG20" s="85">
        <v>45275</v>
      </c>
      <c r="BH20" s="92"/>
      <c r="BI20" s="40"/>
      <c r="BJ20" s="89"/>
      <c r="BK20" s="91"/>
      <c r="BL20" s="40">
        <v>0</v>
      </c>
      <c r="BM20" s="67"/>
      <c r="BN20" s="85">
        <v>45275</v>
      </c>
      <c r="BO20" s="40"/>
      <c r="BP20" s="87"/>
      <c r="BQ20" s="40"/>
      <c r="BR20" s="87"/>
      <c r="BS20" s="40"/>
      <c r="BT20" s="87"/>
      <c r="BU20" s="40"/>
      <c r="BV20" s="87"/>
      <c r="BW20" s="40">
        <f t="shared" si="13"/>
        <v>18269725</v>
      </c>
      <c r="BX20" s="40"/>
      <c r="BY20" s="40">
        <f t="shared" si="14"/>
        <v>18269725</v>
      </c>
      <c r="BZ20" s="67"/>
      <c r="CA20" s="85">
        <v>45275</v>
      </c>
      <c r="CB20" s="40"/>
      <c r="CC20" s="87"/>
      <c r="CD20" s="40">
        <f t="shared" si="15"/>
        <v>4176700</v>
      </c>
      <c r="CE20" s="40">
        <f t="shared" si="1"/>
        <v>4176700</v>
      </c>
      <c r="CF20" s="67"/>
      <c r="CG20" s="85">
        <v>45275</v>
      </c>
      <c r="CH20" s="40"/>
      <c r="CI20" s="102"/>
      <c r="CJ20" s="40"/>
      <c r="CK20" s="40"/>
      <c r="CL20" s="40">
        <f t="shared" si="2"/>
        <v>0</v>
      </c>
      <c r="CM20" s="40"/>
      <c r="CN20" s="85">
        <v>45275</v>
      </c>
      <c r="CO20" s="40"/>
      <c r="CP20" s="40"/>
      <c r="CQ20" s="40"/>
      <c r="CR20" s="40"/>
      <c r="CS20" s="40">
        <f t="shared" si="3"/>
        <v>0</v>
      </c>
      <c r="CT20" s="85"/>
      <c r="CU20" s="85">
        <v>45275</v>
      </c>
      <c r="CZ20" s="67"/>
      <c r="DA20" s="85">
        <v>45275</v>
      </c>
      <c r="DB20" s="40"/>
      <c r="DC20" s="40"/>
      <c r="DD20" s="40"/>
      <c r="DE20" s="40">
        <v>0</v>
      </c>
      <c r="DF20" s="67"/>
      <c r="DG20" s="85">
        <v>45275</v>
      </c>
      <c r="DH20" s="40"/>
      <c r="DI20" s="40"/>
      <c r="DJ20" s="40"/>
      <c r="DK20" s="40">
        <v>0</v>
      </c>
      <c r="DL20" s="67"/>
      <c r="DM20" s="85">
        <v>45275</v>
      </c>
      <c r="DN20" s="40"/>
      <c r="DO20" s="87"/>
      <c r="DP20" s="40"/>
      <c r="DQ20" s="40"/>
      <c r="DR20" s="40">
        <f t="shared" si="4"/>
        <v>0</v>
      </c>
      <c r="DS20" s="67"/>
      <c r="DT20" s="85">
        <v>45275</v>
      </c>
      <c r="DU20" s="40"/>
      <c r="DV20" s="87"/>
      <c r="DW20" s="40"/>
      <c r="DX20" s="40"/>
      <c r="DY20" s="40">
        <f t="shared" si="5"/>
        <v>0</v>
      </c>
      <c r="DZ20" s="67"/>
      <c r="EA20" s="85">
        <v>45275</v>
      </c>
      <c r="EF20" s="40">
        <f t="shared" si="6"/>
        <v>0</v>
      </c>
      <c r="EG20" s="67"/>
      <c r="EH20" s="85">
        <v>45275</v>
      </c>
      <c r="EM20" s="40">
        <f t="shared" si="7"/>
        <v>0</v>
      </c>
    </row>
    <row r="21" spans="2:143" x14ac:dyDescent="0.4">
      <c r="B21" s="85">
        <v>45473</v>
      </c>
      <c r="C21" s="85"/>
      <c r="D21" s="85">
        <v>45458</v>
      </c>
      <c r="E21" s="40">
        <f t="shared" si="8"/>
        <v>0</v>
      </c>
      <c r="F21" s="40">
        <f t="shared" si="9"/>
        <v>22446425</v>
      </c>
      <c r="G21" s="40">
        <f t="shared" si="10"/>
        <v>0</v>
      </c>
      <c r="H21" s="39">
        <v>0</v>
      </c>
      <c r="I21" s="40">
        <f t="shared" si="11"/>
        <v>22446425</v>
      </c>
      <c r="J21" s="40">
        <f>SUM(I20:I21)</f>
        <v>44892850</v>
      </c>
      <c r="L21" s="85">
        <v>45458</v>
      </c>
      <c r="M21" s="40"/>
      <c r="N21" s="101"/>
      <c r="O21" s="40">
        <f t="shared" si="16"/>
        <v>0</v>
      </c>
      <c r="P21" s="40"/>
      <c r="Q21" s="40">
        <f t="shared" si="12"/>
        <v>0</v>
      </c>
      <c r="S21" s="85">
        <v>45458</v>
      </c>
      <c r="T21" s="40"/>
      <c r="U21" s="40"/>
      <c r="V21" s="40"/>
      <c r="W21" s="40"/>
      <c r="X21" s="40">
        <v>0</v>
      </c>
      <c r="Z21" s="85">
        <v>45458</v>
      </c>
      <c r="AA21" s="40"/>
      <c r="AB21" s="40"/>
      <c r="AC21" s="40"/>
      <c r="AD21" s="40"/>
      <c r="AE21" s="40">
        <v>0</v>
      </c>
      <c r="AG21" s="85">
        <v>45458</v>
      </c>
      <c r="AH21" s="40"/>
      <c r="AI21" s="40"/>
      <c r="AJ21" s="40"/>
      <c r="AK21" s="40"/>
      <c r="AL21" s="40">
        <v>0</v>
      </c>
      <c r="AN21" s="85">
        <v>45458</v>
      </c>
      <c r="AO21" s="40"/>
      <c r="AP21" s="40"/>
      <c r="AQ21" s="40"/>
      <c r="AR21" s="40">
        <v>0</v>
      </c>
      <c r="AT21" s="85">
        <v>45458</v>
      </c>
      <c r="AU21" s="40"/>
      <c r="AV21" s="87">
        <v>0</v>
      </c>
      <c r="AW21" s="40"/>
      <c r="AX21" s="40">
        <v>0</v>
      </c>
      <c r="AZ21" s="85">
        <v>45458</v>
      </c>
      <c r="BA21" s="40"/>
      <c r="BB21" s="87"/>
      <c r="BC21" s="40"/>
      <c r="BD21" s="40"/>
      <c r="BE21" s="40">
        <f t="shared" si="0"/>
        <v>0</v>
      </c>
      <c r="BF21" s="67"/>
      <c r="BG21" s="85">
        <v>45458</v>
      </c>
      <c r="BH21" s="91"/>
      <c r="BI21" s="40"/>
      <c r="BJ21" s="89"/>
      <c r="BK21" s="91"/>
      <c r="BL21" s="40">
        <v>0</v>
      </c>
      <c r="BM21" s="67"/>
      <c r="BN21" s="85">
        <v>45458</v>
      </c>
      <c r="BO21" s="40"/>
      <c r="BP21" s="87"/>
      <c r="BQ21" s="40"/>
      <c r="BR21" s="87"/>
      <c r="BS21" s="40"/>
      <c r="BT21" s="87"/>
      <c r="BU21" s="40"/>
      <c r="BV21" s="87"/>
      <c r="BW21" s="40">
        <f t="shared" si="13"/>
        <v>18269725</v>
      </c>
      <c r="BX21" s="40"/>
      <c r="BY21" s="40">
        <f t="shared" si="14"/>
        <v>18269725</v>
      </c>
      <c r="BZ21" s="67"/>
      <c r="CA21" s="85">
        <v>45458</v>
      </c>
      <c r="CB21" s="40"/>
      <c r="CC21" s="87"/>
      <c r="CD21" s="40">
        <f t="shared" si="15"/>
        <v>4176700</v>
      </c>
      <c r="CE21" s="40">
        <f t="shared" si="1"/>
        <v>4176700</v>
      </c>
      <c r="CF21" s="67"/>
      <c r="CG21" s="85">
        <v>45458</v>
      </c>
      <c r="CH21" s="40"/>
      <c r="CI21" s="102"/>
      <c r="CJ21" s="40"/>
      <c r="CK21" s="40"/>
      <c r="CL21" s="40">
        <f t="shared" si="2"/>
        <v>0</v>
      </c>
      <c r="CM21" s="40"/>
      <c r="CN21" s="85">
        <v>45458</v>
      </c>
      <c r="CS21" s="40">
        <f t="shared" si="3"/>
        <v>0</v>
      </c>
      <c r="CT21" s="85"/>
      <c r="CU21" s="85">
        <v>45458</v>
      </c>
      <c r="DA21" s="85">
        <v>45458</v>
      </c>
      <c r="DB21" s="40"/>
      <c r="DC21" s="40"/>
      <c r="DD21" s="40"/>
      <c r="DE21" s="40">
        <v>0</v>
      </c>
      <c r="DG21" s="85">
        <v>45458</v>
      </c>
      <c r="DH21" s="40"/>
      <c r="DI21" s="40"/>
      <c r="DJ21" s="40"/>
      <c r="DK21" s="40">
        <v>0</v>
      </c>
      <c r="DM21" s="85">
        <v>45458</v>
      </c>
      <c r="DN21" s="40"/>
      <c r="DO21" s="87"/>
      <c r="DP21" s="40"/>
      <c r="DQ21" s="40"/>
      <c r="DR21" s="40">
        <f t="shared" si="4"/>
        <v>0</v>
      </c>
      <c r="DT21" s="85">
        <v>45458</v>
      </c>
      <c r="DU21" s="40"/>
      <c r="DV21" s="87"/>
      <c r="DW21" s="40"/>
      <c r="DX21" s="40"/>
      <c r="DY21" s="40">
        <f t="shared" si="5"/>
        <v>0</v>
      </c>
      <c r="EA21" s="85">
        <v>45458</v>
      </c>
      <c r="EF21" s="40">
        <f t="shared" si="6"/>
        <v>0</v>
      </c>
      <c r="EH21" s="85">
        <v>45458</v>
      </c>
      <c r="EM21" s="40">
        <f t="shared" si="7"/>
        <v>0</v>
      </c>
    </row>
    <row r="22" spans="2:143" x14ac:dyDescent="0.4">
      <c r="B22" s="85">
        <v>45657</v>
      </c>
      <c r="C22" s="85"/>
      <c r="D22" s="85">
        <v>45641</v>
      </c>
      <c r="E22" s="40">
        <f t="shared" si="8"/>
        <v>0</v>
      </c>
      <c r="F22" s="40">
        <f t="shared" si="9"/>
        <v>22446425</v>
      </c>
      <c r="G22" s="40">
        <f t="shared" si="10"/>
        <v>0</v>
      </c>
      <c r="H22" s="39">
        <v>0</v>
      </c>
      <c r="I22" s="40">
        <f t="shared" si="11"/>
        <v>22446425</v>
      </c>
      <c r="J22" s="40"/>
      <c r="L22" s="85">
        <v>45641</v>
      </c>
      <c r="M22" s="40"/>
      <c r="N22" s="101"/>
      <c r="O22" s="40">
        <f t="shared" si="16"/>
        <v>0</v>
      </c>
      <c r="P22" s="40"/>
      <c r="Q22" s="40">
        <f t="shared" si="12"/>
        <v>0</v>
      </c>
      <c r="S22" s="85">
        <v>45641</v>
      </c>
      <c r="T22" s="40"/>
      <c r="U22" s="40"/>
      <c r="V22" s="40"/>
      <c r="W22" s="40"/>
      <c r="X22" s="40">
        <v>0</v>
      </c>
      <c r="Z22" s="85">
        <v>45641</v>
      </c>
      <c r="AA22" s="40"/>
      <c r="AB22" s="40"/>
      <c r="AC22" s="40"/>
      <c r="AD22" s="40"/>
      <c r="AE22" s="40">
        <v>0</v>
      </c>
      <c r="AG22" s="85">
        <v>45641</v>
      </c>
      <c r="AH22" s="40"/>
      <c r="AI22" s="40"/>
      <c r="AJ22" s="40"/>
      <c r="AK22" s="40"/>
      <c r="AL22" s="40">
        <v>0</v>
      </c>
      <c r="AN22" s="85">
        <v>45641</v>
      </c>
      <c r="AO22" s="40"/>
      <c r="AP22" s="40"/>
      <c r="AQ22" s="40"/>
      <c r="AR22" s="40">
        <v>0</v>
      </c>
      <c r="AT22" s="85">
        <v>45641</v>
      </c>
      <c r="AU22" s="40"/>
      <c r="AV22" s="87">
        <v>0</v>
      </c>
      <c r="AW22" s="40"/>
      <c r="AX22" s="40">
        <v>0</v>
      </c>
      <c r="AZ22" s="85">
        <v>45641</v>
      </c>
      <c r="BA22" s="40"/>
      <c r="BB22" s="87"/>
      <c r="BC22" s="40"/>
      <c r="BD22" s="40"/>
      <c r="BE22" s="40">
        <f t="shared" si="0"/>
        <v>0</v>
      </c>
      <c r="BF22" s="67"/>
      <c r="BG22" s="85">
        <v>45641</v>
      </c>
      <c r="BH22" s="93"/>
      <c r="BI22" s="40"/>
      <c r="BJ22" s="89"/>
      <c r="BK22" s="90"/>
      <c r="BL22" s="40">
        <v>0</v>
      </c>
      <c r="BM22" s="67"/>
      <c r="BN22" s="85">
        <v>45641</v>
      </c>
      <c r="BO22" s="40"/>
      <c r="BP22" s="87"/>
      <c r="BQ22" s="40"/>
      <c r="BR22" s="87"/>
      <c r="BS22" s="40"/>
      <c r="BT22" s="87"/>
      <c r="BU22" s="40"/>
      <c r="BV22" s="87"/>
      <c r="BW22" s="40">
        <f t="shared" si="13"/>
        <v>18269725</v>
      </c>
      <c r="BX22" s="40"/>
      <c r="BY22" s="40">
        <f t="shared" si="14"/>
        <v>18269725</v>
      </c>
      <c r="BZ22" s="67"/>
      <c r="CA22" s="85">
        <v>45641</v>
      </c>
      <c r="CB22" s="40"/>
      <c r="CC22" s="87"/>
      <c r="CD22" s="40">
        <f t="shared" si="15"/>
        <v>4176700</v>
      </c>
      <c r="CE22" s="40">
        <f t="shared" si="1"/>
        <v>4176700</v>
      </c>
      <c r="CF22" s="67"/>
      <c r="CG22" s="85">
        <v>45641</v>
      </c>
      <c r="CH22" s="40"/>
      <c r="CI22" s="102"/>
      <c r="CJ22" s="40"/>
      <c r="CK22" s="40"/>
      <c r="CL22" s="40">
        <f t="shared" si="2"/>
        <v>0</v>
      </c>
      <c r="CM22" s="40"/>
      <c r="CN22" s="85">
        <v>45641</v>
      </c>
      <c r="CS22" s="40">
        <f t="shared" si="3"/>
        <v>0</v>
      </c>
      <c r="CT22" s="85"/>
      <c r="CU22" s="85">
        <v>45641</v>
      </c>
      <c r="DA22" s="85">
        <v>45641</v>
      </c>
      <c r="DB22" s="40"/>
      <c r="DC22" s="40"/>
      <c r="DD22" s="40"/>
      <c r="DE22" s="40">
        <v>0</v>
      </c>
      <c r="DG22" s="85">
        <v>45641</v>
      </c>
      <c r="DK22" s="40">
        <v>0</v>
      </c>
      <c r="DM22" s="85">
        <v>45641</v>
      </c>
      <c r="DN22" s="40"/>
      <c r="DO22" s="87"/>
      <c r="DP22" s="40"/>
      <c r="DQ22" s="40"/>
      <c r="DR22" s="40">
        <f t="shared" si="4"/>
        <v>0</v>
      </c>
      <c r="DT22" s="85">
        <v>45641</v>
      </c>
      <c r="DU22" s="40"/>
      <c r="DV22" s="87"/>
      <c r="DW22" s="40"/>
      <c r="DX22" s="40"/>
      <c r="DY22" s="40">
        <f t="shared" si="5"/>
        <v>0</v>
      </c>
      <c r="EA22" s="85">
        <v>45641</v>
      </c>
      <c r="EF22" s="40">
        <f t="shared" si="6"/>
        <v>0</v>
      </c>
      <c r="EH22" s="85">
        <v>45641</v>
      </c>
      <c r="EM22" s="40">
        <f t="shared" si="7"/>
        <v>0</v>
      </c>
    </row>
    <row r="23" spans="2:143" x14ac:dyDescent="0.4">
      <c r="B23" s="85">
        <v>45838</v>
      </c>
      <c r="C23" s="85"/>
      <c r="D23" s="85">
        <v>45823</v>
      </c>
      <c r="E23" s="40">
        <f t="shared" si="8"/>
        <v>0</v>
      </c>
      <c r="F23" s="40">
        <f t="shared" si="9"/>
        <v>22446425</v>
      </c>
      <c r="G23" s="40">
        <f t="shared" si="10"/>
        <v>0</v>
      </c>
      <c r="H23" s="39">
        <v>0</v>
      </c>
      <c r="I23" s="40">
        <f t="shared" si="11"/>
        <v>22446425</v>
      </c>
      <c r="J23" s="40">
        <f>SUM(I22:I23)</f>
        <v>44892850</v>
      </c>
      <c r="L23" s="85">
        <v>45823</v>
      </c>
      <c r="M23" s="40"/>
      <c r="N23" s="101"/>
      <c r="O23" s="40">
        <v>0</v>
      </c>
      <c r="P23" s="40"/>
      <c r="Q23" s="40">
        <f t="shared" si="12"/>
        <v>0</v>
      </c>
      <c r="S23" s="85">
        <v>45823</v>
      </c>
      <c r="T23" s="40"/>
      <c r="U23" s="40"/>
      <c r="V23" s="40"/>
      <c r="W23" s="40"/>
      <c r="X23" s="40">
        <v>0</v>
      </c>
      <c r="Z23" s="85">
        <v>45823</v>
      </c>
      <c r="AA23" s="40"/>
      <c r="AB23" s="40"/>
      <c r="AC23" s="40"/>
      <c r="AD23" s="40"/>
      <c r="AE23" s="40">
        <v>0</v>
      </c>
      <c r="AG23" s="85">
        <v>45823</v>
      </c>
      <c r="AH23" s="40"/>
      <c r="AI23" s="40"/>
      <c r="AJ23" s="40"/>
      <c r="AK23" s="40"/>
      <c r="AL23" s="40">
        <v>0</v>
      </c>
      <c r="AN23" s="85">
        <v>45823</v>
      </c>
      <c r="AO23" s="40"/>
      <c r="AP23" s="40"/>
      <c r="AQ23" s="40"/>
      <c r="AR23" s="40">
        <v>0</v>
      </c>
      <c r="AT23" s="85">
        <v>45823</v>
      </c>
      <c r="AU23" s="40"/>
      <c r="AV23" s="87">
        <v>0</v>
      </c>
      <c r="AW23" s="40"/>
      <c r="AX23" s="40">
        <v>0</v>
      </c>
      <c r="AZ23" s="85">
        <v>45823</v>
      </c>
      <c r="BA23" s="40"/>
      <c r="BB23" s="87"/>
      <c r="BC23" s="40"/>
      <c r="BD23" s="40"/>
      <c r="BE23" s="40">
        <f t="shared" si="0"/>
        <v>0</v>
      </c>
      <c r="BF23" s="67"/>
      <c r="BG23" s="85">
        <v>45823</v>
      </c>
      <c r="BH23" s="93"/>
      <c r="BI23" s="40"/>
      <c r="BJ23" s="89"/>
      <c r="BK23" s="90"/>
      <c r="BL23" s="40">
        <v>0</v>
      </c>
      <c r="BM23" s="67"/>
      <c r="BN23" s="85">
        <v>45823</v>
      </c>
      <c r="BO23" s="40"/>
      <c r="BP23" s="87"/>
      <c r="BQ23" s="40"/>
      <c r="BR23" s="87"/>
      <c r="BS23" s="40"/>
      <c r="BT23" s="87"/>
      <c r="BU23" s="40"/>
      <c r="BV23" s="87"/>
      <c r="BW23" s="40">
        <f t="shared" si="13"/>
        <v>18269725</v>
      </c>
      <c r="BX23" s="40"/>
      <c r="BY23" s="40">
        <f t="shared" si="14"/>
        <v>18269725</v>
      </c>
      <c r="BZ23" s="67"/>
      <c r="CA23" s="85">
        <v>45823</v>
      </c>
      <c r="CB23" s="40"/>
      <c r="CC23" s="87"/>
      <c r="CD23" s="40">
        <f t="shared" si="15"/>
        <v>4176700</v>
      </c>
      <c r="CE23" s="40">
        <f t="shared" si="1"/>
        <v>4176700</v>
      </c>
      <c r="CF23" s="67"/>
      <c r="CG23" s="85">
        <v>45823</v>
      </c>
      <c r="CH23" s="40"/>
      <c r="CI23" s="102"/>
      <c r="CJ23" s="40"/>
      <c r="CK23" s="40"/>
      <c r="CL23" s="40">
        <f t="shared" si="2"/>
        <v>0</v>
      </c>
      <c r="CM23" s="40"/>
      <c r="CN23" s="85">
        <v>45823</v>
      </c>
      <c r="CS23" s="40">
        <f t="shared" si="3"/>
        <v>0</v>
      </c>
      <c r="CT23" s="85"/>
      <c r="CU23" s="85">
        <v>45823</v>
      </c>
      <c r="DA23" s="85">
        <v>45823</v>
      </c>
      <c r="DB23" s="40"/>
      <c r="DC23" s="40"/>
      <c r="DD23" s="40"/>
      <c r="DE23" s="40">
        <v>0</v>
      </c>
      <c r="DG23" s="85">
        <v>45823</v>
      </c>
      <c r="DK23" s="40">
        <v>0</v>
      </c>
      <c r="DM23" s="85">
        <v>45823</v>
      </c>
      <c r="DN23" s="40"/>
      <c r="DO23" s="87"/>
      <c r="DP23" s="40"/>
      <c r="DQ23" s="40"/>
      <c r="DR23" s="40">
        <f t="shared" si="4"/>
        <v>0</v>
      </c>
      <c r="DT23" s="85">
        <v>45823</v>
      </c>
      <c r="DU23" s="40"/>
      <c r="DV23" s="87"/>
      <c r="DW23" s="40"/>
      <c r="DX23" s="40"/>
      <c r="DY23" s="40">
        <f t="shared" si="5"/>
        <v>0</v>
      </c>
      <c r="EA23" s="85">
        <v>45823</v>
      </c>
      <c r="EF23" s="40">
        <f t="shared" si="6"/>
        <v>0</v>
      </c>
      <c r="EH23" s="85">
        <v>45823</v>
      </c>
      <c r="EM23" s="40">
        <f t="shared" si="7"/>
        <v>0</v>
      </c>
    </row>
    <row r="24" spans="2:143" x14ac:dyDescent="0.4">
      <c r="B24" s="85">
        <v>46022</v>
      </c>
      <c r="C24" s="85"/>
      <c r="D24" s="85">
        <v>46006</v>
      </c>
      <c r="E24" s="40">
        <f t="shared" si="8"/>
        <v>945304.8</v>
      </c>
      <c r="F24" s="40">
        <f t="shared" si="9"/>
        <v>23278912.5</v>
      </c>
      <c r="G24" s="40">
        <f t="shared" si="10"/>
        <v>374695.19999999995</v>
      </c>
      <c r="H24" s="39">
        <v>0</v>
      </c>
      <c r="I24" s="40">
        <f t="shared" si="11"/>
        <v>24598912.5</v>
      </c>
      <c r="J24" s="40"/>
      <c r="L24" s="85">
        <v>46006</v>
      </c>
      <c r="M24" s="40">
        <v>945304.8</v>
      </c>
      <c r="N24" s="101">
        <v>6.5000000000000002E-2</v>
      </c>
      <c r="O24" s="40">
        <f t="shared" si="16"/>
        <v>832487.5</v>
      </c>
      <c r="P24" s="40">
        <f>1320000-M24</f>
        <v>374695.19999999995</v>
      </c>
      <c r="Q24" s="40">
        <f t="shared" si="12"/>
        <v>2152487.5</v>
      </c>
      <c r="S24" s="85">
        <v>46006</v>
      </c>
      <c r="T24" s="40"/>
      <c r="U24" s="40"/>
      <c r="V24" s="40"/>
      <c r="W24" s="40"/>
      <c r="X24" s="40">
        <v>0</v>
      </c>
      <c r="Z24" s="85">
        <v>46006</v>
      </c>
      <c r="AA24" s="40"/>
      <c r="AB24" s="40"/>
      <c r="AC24" s="40"/>
      <c r="AD24" s="40"/>
      <c r="AE24" s="40">
        <v>0</v>
      </c>
      <c r="AG24" s="85">
        <v>46006</v>
      </c>
      <c r="AH24" s="40"/>
      <c r="AI24" s="40"/>
      <c r="AJ24" s="40"/>
      <c r="AK24" s="40"/>
      <c r="AL24" s="40">
        <v>0</v>
      </c>
      <c r="AN24" s="85">
        <v>46006</v>
      </c>
      <c r="AO24" s="40"/>
      <c r="AP24" s="40"/>
      <c r="AQ24" s="40"/>
      <c r="AR24" s="40">
        <v>0</v>
      </c>
      <c r="AT24" s="85">
        <v>46006</v>
      </c>
      <c r="AU24" s="40"/>
      <c r="AV24" s="87">
        <v>0</v>
      </c>
      <c r="AW24" s="40"/>
      <c r="AX24" s="40">
        <v>0</v>
      </c>
      <c r="AZ24" s="85">
        <v>46006</v>
      </c>
      <c r="BA24" s="40"/>
      <c r="BB24" s="87"/>
      <c r="BC24" s="40"/>
      <c r="BD24" s="40"/>
      <c r="BE24" s="40">
        <f t="shared" si="0"/>
        <v>0</v>
      </c>
      <c r="BF24" s="67"/>
      <c r="BG24" s="85">
        <v>46006</v>
      </c>
      <c r="BI24" s="40"/>
      <c r="BJ24" s="87"/>
      <c r="BL24" s="40">
        <v>0</v>
      </c>
      <c r="BM24" s="67"/>
      <c r="BN24" s="85">
        <v>46006</v>
      </c>
      <c r="BO24" s="40"/>
      <c r="BP24" s="87"/>
      <c r="BQ24" s="40"/>
      <c r="BR24" s="87"/>
      <c r="BS24" s="40"/>
      <c r="BT24" s="87"/>
      <c r="BU24" s="40"/>
      <c r="BV24" s="87"/>
      <c r="BW24" s="40">
        <f t="shared" si="13"/>
        <v>18269725</v>
      </c>
      <c r="BX24" s="40"/>
      <c r="BY24" s="40">
        <f t="shared" si="14"/>
        <v>18269725</v>
      </c>
      <c r="BZ24" s="67"/>
      <c r="CA24" s="85">
        <v>46006</v>
      </c>
      <c r="CB24" s="40"/>
      <c r="CC24" s="87"/>
      <c r="CD24" s="40">
        <f t="shared" si="15"/>
        <v>4176700</v>
      </c>
      <c r="CE24" s="40">
        <f t="shared" si="1"/>
        <v>4176700</v>
      </c>
      <c r="CF24" s="67"/>
      <c r="CG24" s="85">
        <v>46006</v>
      </c>
      <c r="CH24" s="40"/>
      <c r="CI24" s="102"/>
      <c r="CJ24" s="40"/>
      <c r="CK24" s="40"/>
      <c r="CL24" s="40">
        <f t="shared" si="2"/>
        <v>0</v>
      </c>
      <c r="CM24" s="40"/>
      <c r="CN24" s="85">
        <v>46006</v>
      </c>
      <c r="CS24" s="40">
        <f t="shared" si="3"/>
        <v>0</v>
      </c>
      <c r="CT24" s="85"/>
      <c r="CU24" s="85">
        <v>46006</v>
      </c>
      <c r="DA24" s="85">
        <v>46006</v>
      </c>
      <c r="DB24" s="40"/>
      <c r="DC24" s="40"/>
      <c r="DD24" s="40"/>
      <c r="DE24" s="40">
        <v>0</v>
      </c>
      <c r="DG24" s="85">
        <v>46006</v>
      </c>
      <c r="DK24" s="40">
        <v>0</v>
      </c>
      <c r="DM24" s="85">
        <v>46006</v>
      </c>
      <c r="DR24" s="40">
        <f t="shared" si="4"/>
        <v>0</v>
      </c>
      <c r="DT24" s="85">
        <v>46006</v>
      </c>
      <c r="DU24" s="40"/>
      <c r="DV24" s="87"/>
      <c r="DW24" s="40"/>
      <c r="DX24" s="40"/>
      <c r="DY24" s="40">
        <f t="shared" si="5"/>
        <v>0</v>
      </c>
      <c r="EA24" s="85">
        <v>46006</v>
      </c>
      <c r="EF24" s="40">
        <f t="shared" si="6"/>
        <v>0</v>
      </c>
      <c r="EH24" s="85">
        <v>46006</v>
      </c>
      <c r="EM24" s="40">
        <f t="shared" si="7"/>
        <v>0</v>
      </c>
    </row>
    <row r="25" spans="2:143" x14ac:dyDescent="0.4">
      <c r="B25" s="85">
        <v>46203</v>
      </c>
      <c r="C25" s="85"/>
      <c r="D25" s="85">
        <v>46188</v>
      </c>
      <c r="E25" s="40">
        <f t="shared" si="8"/>
        <v>0</v>
      </c>
      <c r="F25" s="40">
        <f t="shared" si="9"/>
        <v>23236012.5</v>
      </c>
      <c r="G25" s="40">
        <f t="shared" si="10"/>
        <v>0</v>
      </c>
      <c r="H25" s="39">
        <v>0</v>
      </c>
      <c r="I25" s="40">
        <f t="shared" si="11"/>
        <v>23236012.5</v>
      </c>
      <c r="J25" s="40">
        <f>SUM(I24:I25)</f>
        <v>47834925</v>
      </c>
      <c r="L25" s="85">
        <v>46188</v>
      </c>
      <c r="M25" s="40"/>
      <c r="N25" s="101"/>
      <c r="O25" s="40">
        <f t="shared" si="16"/>
        <v>789587.5</v>
      </c>
      <c r="P25" s="40"/>
      <c r="Q25" s="40">
        <f t="shared" si="12"/>
        <v>789587.5</v>
      </c>
      <c r="S25" s="85">
        <v>46188</v>
      </c>
      <c r="T25" s="40"/>
      <c r="U25" s="40"/>
      <c r="V25" s="40"/>
      <c r="W25" s="40"/>
      <c r="X25" s="40">
        <v>0</v>
      </c>
      <c r="Z25" s="85">
        <v>46188</v>
      </c>
      <c r="AA25" s="40"/>
      <c r="AB25" s="40"/>
      <c r="AC25" s="40"/>
      <c r="AD25" s="40"/>
      <c r="AE25" s="40">
        <v>0</v>
      </c>
      <c r="AG25" s="85">
        <v>46188</v>
      </c>
      <c r="AH25" s="40"/>
      <c r="AI25" s="40"/>
      <c r="AJ25" s="40"/>
      <c r="AK25" s="40"/>
      <c r="AL25" s="40">
        <v>0</v>
      </c>
      <c r="AN25" s="85">
        <v>46188</v>
      </c>
      <c r="AO25" s="40"/>
      <c r="AP25" s="40"/>
      <c r="AQ25" s="40"/>
      <c r="AR25" s="40">
        <v>0</v>
      </c>
      <c r="AT25" s="85">
        <v>46188</v>
      </c>
      <c r="AU25" s="40"/>
      <c r="AV25" s="87">
        <v>0</v>
      </c>
      <c r="AW25" s="40"/>
      <c r="AX25" s="40">
        <v>0</v>
      </c>
      <c r="AZ25" s="85">
        <v>46188</v>
      </c>
      <c r="BA25" s="40"/>
      <c r="BB25" s="87"/>
      <c r="BC25" s="40"/>
      <c r="BD25" s="40"/>
      <c r="BE25" s="40">
        <f t="shared" si="0"/>
        <v>0</v>
      </c>
      <c r="BF25" s="67"/>
      <c r="BG25" s="85">
        <v>46188</v>
      </c>
      <c r="BI25" s="40"/>
      <c r="BJ25" s="87"/>
      <c r="BL25" s="40">
        <v>0</v>
      </c>
      <c r="BM25" s="67"/>
      <c r="BN25" s="85">
        <v>46188</v>
      </c>
      <c r="BO25" s="40"/>
      <c r="BP25" s="87"/>
      <c r="BQ25" s="40"/>
      <c r="BR25" s="87"/>
      <c r="BS25" s="40"/>
      <c r="BT25" s="87"/>
      <c r="BU25" s="40"/>
      <c r="BV25" s="87"/>
      <c r="BW25" s="40">
        <f t="shared" si="13"/>
        <v>18269725</v>
      </c>
      <c r="BX25" s="40"/>
      <c r="BY25" s="40">
        <f t="shared" si="14"/>
        <v>18269725</v>
      </c>
      <c r="BZ25" s="67"/>
      <c r="CA25" s="85">
        <v>46188</v>
      </c>
      <c r="CB25" s="40"/>
      <c r="CC25" s="87"/>
      <c r="CD25" s="40">
        <f t="shared" si="15"/>
        <v>4176700</v>
      </c>
      <c r="CE25" s="40">
        <f t="shared" si="1"/>
        <v>4176700</v>
      </c>
      <c r="CF25" s="67"/>
      <c r="CG25" s="85">
        <v>46188</v>
      </c>
      <c r="CH25" s="40"/>
      <c r="CI25" s="102"/>
      <c r="CJ25" s="40"/>
      <c r="CK25" s="40"/>
      <c r="CL25" s="40">
        <f t="shared" si="2"/>
        <v>0</v>
      </c>
      <c r="CM25" s="40"/>
      <c r="CN25" s="85">
        <v>46188</v>
      </c>
      <c r="CS25" s="40">
        <f t="shared" si="3"/>
        <v>0</v>
      </c>
      <c r="CT25" s="85"/>
      <c r="CU25" s="85">
        <v>46188</v>
      </c>
      <c r="DA25" s="85">
        <v>46188</v>
      </c>
      <c r="DB25" s="40"/>
      <c r="DC25" s="40"/>
      <c r="DD25" s="40"/>
      <c r="DE25" s="40">
        <v>0</v>
      </c>
      <c r="DG25" s="85">
        <v>46188</v>
      </c>
      <c r="DK25" s="40">
        <v>0</v>
      </c>
      <c r="DM25" s="85">
        <v>46188</v>
      </c>
      <c r="DR25" s="40">
        <f t="shared" si="4"/>
        <v>0</v>
      </c>
      <c r="DT25" s="85">
        <v>46188</v>
      </c>
      <c r="DU25" s="40"/>
      <c r="DV25" s="87"/>
      <c r="DW25" s="40"/>
      <c r="DX25" s="40"/>
      <c r="DY25" s="40">
        <f t="shared" si="5"/>
        <v>0</v>
      </c>
      <c r="EA25" s="85">
        <v>46188</v>
      </c>
      <c r="EF25" s="40">
        <f t="shared" si="6"/>
        <v>0</v>
      </c>
      <c r="EH25" s="85">
        <v>46188</v>
      </c>
      <c r="EM25" s="40">
        <f t="shared" si="7"/>
        <v>0</v>
      </c>
    </row>
    <row r="26" spans="2:143" x14ac:dyDescent="0.4">
      <c r="B26" s="85">
        <v>46387</v>
      </c>
      <c r="C26" s="85"/>
      <c r="D26" s="85">
        <v>46371</v>
      </c>
      <c r="E26" s="40">
        <f t="shared" si="8"/>
        <v>837883.8</v>
      </c>
      <c r="F26" s="40">
        <f t="shared" si="9"/>
        <v>23236012.5</v>
      </c>
      <c r="G26" s="40">
        <f t="shared" si="10"/>
        <v>332116.19999999995</v>
      </c>
      <c r="H26" s="39">
        <v>0</v>
      </c>
      <c r="I26" s="40">
        <f t="shared" si="11"/>
        <v>24406012.5</v>
      </c>
      <c r="J26" s="40"/>
      <c r="L26" s="85">
        <v>46371</v>
      </c>
      <c r="M26" s="40">
        <v>837883.8</v>
      </c>
      <c r="N26" s="101">
        <v>6.5000000000000002E-2</v>
      </c>
      <c r="O26" s="40">
        <f t="shared" si="16"/>
        <v>789587.5</v>
      </c>
      <c r="P26" s="40">
        <f>1170000-M26</f>
        <v>332116.19999999995</v>
      </c>
      <c r="Q26" s="40">
        <f t="shared" si="12"/>
        <v>1959587.5</v>
      </c>
      <c r="S26" s="85">
        <v>46371</v>
      </c>
      <c r="T26" s="40"/>
      <c r="U26" s="40"/>
      <c r="V26" s="40"/>
      <c r="W26" s="40"/>
      <c r="X26" s="40">
        <v>0</v>
      </c>
      <c r="Z26" s="85">
        <v>46371</v>
      </c>
      <c r="AA26" s="40"/>
      <c r="AB26" s="40"/>
      <c r="AC26" s="40"/>
      <c r="AD26" s="40"/>
      <c r="AE26" s="40">
        <v>0</v>
      </c>
      <c r="AG26" s="85">
        <v>46371</v>
      </c>
      <c r="AH26" s="40"/>
      <c r="AI26" s="40"/>
      <c r="AJ26" s="40"/>
      <c r="AK26" s="40"/>
      <c r="AL26" s="40">
        <v>0</v>
      </c>
      <c r="AN26" s="85">
        <v>46371</v>
      </c>
      <c r="AO26" s="40"/>
      <c r="AP26" s="40"/>
      <c r="AQ26" s="40"/>
      <c r="AR26" s="40">
        <v>0</v>
      </c>
      <c r="AT26" s="85">
        <v>46371</v>
      </c>
      <c r="AU26" s="40"/>
      <c r="AV26" s="87">
        <v>0</v>
      </c>
      <c r="AW26" s="40"/>
      <c r="AX26" s="40">
        <v>0</v>
      </c>
      <c r="AZ26" s="85">
        <v>46371</v>
      </c>
      <c r="BA26" s="40"/>
      <c r="BB26" s="87"/>
      <c r="BC26" s="40"/>
      <c r="BD26" s="40"/>
      <c r="BE26" s="40">
        <f t="shared" si="0"/>
        <v>0</v>
      </c>
      <c r="BF26" s="67"/>
      <c r="BG26" s="85">
        <v>46371</v>
      </c>
      <c r="BI26" s="40"/>
      <c r="BJ26" s="87"/>
      <c r="BL26" s="40">
        <v>0</v>
      </c>
      <c r="BM26" s="67"/>
      <c r="BN26" s="85">
        <v>46371</v>
      </c>
      <c r="BO26" s="40"/>
      <c r="BP26" s="87"/>
      <c r="BQ26" s="40"/>
      <c r="BR26" s="87"/>
      <c r="BS26" s="40"/>
      <c r="BT26" s="87"/>
      <c r="BU26" s="40"/>
      <c r="BV26" s="87"/>
      <c r="BW26" s="40">
        <f t="shared" si="13"/>
        <v>18269725</v>
      </c>
      <c r="BX26" s="40"/>
      <c r="BY26" s="40">
        <f t="shared" si="14"/>
        <v>18269725</v>
      </c>
      <c r="BZ26" s="67"/>
      <c r="CA26" s="85">
        <v>46371</v>
      </c>
      <c r="CB26" s="40"/>
      <c r="CC26" s="87"/>
      <c r="CD26" s="40">
        <f t="shared" si="15"/>
        <v>4176700</v>
      </c>
      <c r="CE26" s="40">
        <f t="shared" si="1"/>
        <v>4176700</v>
      </c>
      <c r="CF26" s="67"/>
      <c r="CG26" s="85">
        <v>46371</v>
      </c>
      <c r="CH26" s="40"/>
      <c r="CI26" s="102"/>
      <c r="CJ26" s="40"/>
      <c r="CK26" s="40"/>
      <c r="CL26" s="40">
        <f t="shared" si="2"/>
        <v>0</v>
      </c>
      <c r="CM26" s="40"/>
      <c r="CN26" s="85">
        <v>46371</v>
      </c>
      <c r="CS26" s="40">
        <f t="shared" si="3"/>
        <v>0</v>
      </c>
      <c r="CT26" s="85"/>
      <c r="CU26" s="85">
        <v>46371</v>
      </c>
      <c r="DA26" s="85">
        <v>46371</v>
      </c>
      <c r="DB26" s="40"/>
      <c r="DC26" s="40"/>
      <c r="DD26" s="40"/>
      <c r="DE26" s="40">
        <v>0</v>
      </c>
      <c r="DG26" s="85">
        <v>46371</v>
      </c>
      <c r="DK26" s="40">
        <v>0</v>
      </c>
      <c r="DM26" s="85">
        <v>46371</v>
      </c>
      <c r="DR26" s="40">
        <f t="shared" si="4"/>
        <v>0</v>
      </c>
      <c r="DT26" s="85">
        <v>46371</v>
      </c>
      <c r="DU26" s="40"/>
      <c r="DV26" s="87"/>
      <c r="DW26" s="40"/>
      <c r="DX26" s="40"/>
      <c r="DY26" s="40">
        <f t="shared" si="5"/>
        <v>0</v>
      </c>
      <c r="EA26" s="85">
        <v>46371</v>
      </c>
      <c r="EF26" s="40">
        <f t="shared" si="6"/>
        <v>0</v>
      </c>
      <c r="EH26" s="85">
        <v>46371</v>
      </c>
      <c r="EM26" s="40">
        <f t="shared" si="7"/>
        <v>0</v>
      </c>
    </row>
    <row r="27" spans="2:143" x14ac:dyDescent="0.4">
      <c r="B27" s="85">
        <v>46568</v>
      </c>
      <c r="C27" s="85"/>
      <c r="D27" s="85">
        <v>46553</v>
      </c>
      <c r="E27" s="40">
        <f t="shared" si="8"/>
        <v>0</v>
      </c>
      <c r="F27" s="40">
        <f t="shared" si="9"/>
        <v>23197987.5</v>
      </c>
      <c r="G27" s="40">
        <f t="shared" si="10"/>
        <v>0</v>
      </c>
      <c r="H27" s="39">
        <v>0</v>
      </c>
      <c r="I27" s="40">
        <f t="shared" si="11"/>
        <v>23197987.5</v>
      </c>
      <c r="J27" s="40">
        <f>SUM(I26:I27)</f>
        <v>47604000</v>
      </c>
      <c r="L27" s="85">
        <v>46553</v>
      </c>
      <c r="M27" s="40"/>
      <c r="N27" s="101"/>
      <c r="O27" s="40">
        <f t="shared" si="16"/>
        <v>751562.5</v>
      </c>
      <c r="P27" s="40"/>
      <c r="Q27" s="40">
        <f t="shared" si="12"/>
        <v>751562.5</v>
      </c>
      <c r="S27" s="85">
        <v>46553</v>
      </c>
      <c r="T27" s="40"/>
      <c r="U27" s="40"/>
      <c r="V27" s="40"/>
      <c r="W27" s="40"/>
      <c r="X27" s="40">
        <v>0</v>
      </c>
      <c r="Z27" s="85">
        <v>46553</v>
      </c>
      <c r="AA27" s="40"/>
      <c r="AB27" s="40"/>
      <c r="AC27" s="40"/>
      <c r="AD27" s="40"/>
      <c r="AE27" s="40">
        <v>0</v>
      </c>
      <c r="AG27" s="85">
        <v>46553</v>
      </c>
      <c r="AH27" s="40"/>
      <c r="AI27" s="40"/>
      <c r="AJ27" s="40"/>
      <c r="AK27" s="40"/>
      <c r="AL27" s="40">
        <v>0</v>
      </c>
      <c r="AN27" s="85">
        <v>46553</v>
      </c>
      <c r="AO27" s="40"/>
      <c r="AP27" s="40"/>
      <c r="AQ27" s="40"/>
      <c r="AR27" s="40">
        <v>0</v>
      </c>
      <c r="AT27" s="85">
        <v>46553</v>
      </c>
      <c r="AU27" s="40"/>
      <c r="AV27" s="87">
        <v>0</v>
      </c>
      <c r="AW27" s="40"/>
      <c r="AX27" s="40">
        <v>0</v>
      </c>
      <c r="AZ27" s="85">
        <v>46553</v>
      </c>
      <c r="BA27" s="40"/>
      <c r="BB27" s="87"/>
      <c r="BC27" s="40"/>
      <c r="BD27" s="40"/>
      <c r="BE27" s="40">
        <f t="shared" si="0"/>
        <v>0</v>
      </c>
      <c r="BF27" s="67"/>
      <c r="BG27" s="85">
        <v>46553</v>
      </c>
      <c r="BI27" s="40"/>
      <c r="BJ27" s="87"/>
      <c r="BL27" s="40">
        <v>0</v>
      </c>
      <c r="BM27" s="67"/>
      <c r="BN27" s="85">
        <v>46553</v>
      </c>
      <c r="BO27" s="40"/>
      <c r="BP27" s="87"/>
      <c r="BQ27" s="40"/>
      <c r="BR27" s="87"/>
      <c r="BS27" s="40"/>
      <c r="BT27" s="87"/>
      <c r="BU27" s="40"/>
      <c r="BV27" s="87"/>
      <c r="BW27" s="40">
        <f t="shared" si="13"/>
        <v>18269725</v>
      </c>
      <c r="BX27" s="40"/>
      <c r="BY27" s="40">
        <f t="shared" si="14"/>
        <v>18269725</v>
      </c>
      <c r="BZ27" s="67"/>
      <c r="CA27" s="85">
        <v>46553</v>
      </c>
      <c r="CB27" s="40"/>
      <c r="CC27" s="87"/>
      <c r="CD27" s="40">
        <f t="shared" si="15"/>
        <v>4176700</v>
      </c>
      <c r="CE27" s="40">
        <f t="shared" si="1"/>
        <v>4176700</v>
      </c>
      <c r="CF27" s="67"/>
      <c r="CG27" s="85">
        <v>46553</v>
      </c>
      <c r="CH27" s="40"/>
      <c r="CI27" s="102"/>
      <c r="CJ27" s="40"/>
      <c r="CK27" s="40"/>
      <c r="CL27" s="40">
        <f t="shared" si="2"/>
        <v>0</v>
      </c>
      <c r="CM27" s="40"/>
      <c r="CN27" s="85">
        <v>46553</v>
      </c>
      <c r="CS27" s="40">
        <f t="shared" si="3"/>
        <v>0</v>
      </c>
      <c r="CT27" s="85"/>
      <c r="CU27" s="85">
        <v>46553</v>
      </c>
      <c r="DA27" s="85">
        <v>46553</v>
      </c>
      <c r="DB27" s="40"/>
      <c r="DC27" s="40"/>
      <c r="DD27" s="40"/>
      <c r="DE27" s="40">
        <v>0</v>
      </c>
      <c r="DG27" s="85">
        <v>46553</v>
      </c>
      <c r="DK27" s="40">
        <v>0</v>
      </c>
      <c r="DM27" s="85">
        <v>46553</v>
      </c>
      <c r="DR27" s="40">
        <f t="shared" si="4"/>
        <v>0</v>
      </c>
      <c r="DT27" s="85">
        <v>46553</v>
      </c>
      <c r="DU27" s="40"/>
      <c r="DV27" s="87"/>
      <c r="DW27" s="40"/>
      <c r="DX27" s="40"/>
      <c r="DY27" s="40">
        <f t="shared" si="5"/>
        <v>0</v>
      </c>
      <c r="EA27" s="85">
        <v>46553</v>
      </c>
      <c r="EF27" s="40">
        <f t="shared" si="6"/>
        <v>0</v>
      </c>
      <c r="EH27" s="85">
        <v>46553</v>
      </c>
      <c r="EM27" s="40">
        <f t="shared" si="7"/>
        <v>0</v>
      </c>
    </row>
    <row r="28" spans="2:143" x14ac:dyDescent="0.4">
      <c r="B28" s="85">
        <v>46752</v>
      </c>
      <c r="C28" s="85"/>
      <c r="D28" s="85">
        <v>46736</v>
      </c>
      <c r="E28" s="40">
        <f t="shared" si="8"/>
        <v>920239.9</v>
      </c>
      <c r="F28" s="40">
        <f t="shared" si="9"/>
        <v>23197987.5</v>
      </c>
      <c r="G28" s="40">
        <f t="shared" si="10"/>
        <v>364760.1</v>
      </c>
      <c r="H28" s="39">
        <v>0</v>
      </c>
      <c r="I28" s="40">
        <f t="shared" si="11"/>
        <v>24482987.5</v>
      </c>
      <c r="J28" s="40"/>
      <c r="L28" s="85">
        <v>46736</v>
      </c>
      <c r="M28" s="40">
        <v>920239.9</v>
      </c>
      <c r="N28" s="101">
        <v>6.5000000000000002E-2</v>
      </c>
      <c r="O28" s="40">
        <f t="shared" si="16"/>
        <v>751562.5</v>
      </c>
      <c r="P28" s="40">
        <f>1285000-M28</f>
        <v>364760.1</v>
      </c>
      <c r="Q28" s="40">
        <f t="shared" si="12"/>
        <v>2036562.5</v>
      </c>
      <c r="S28" s="85">
        <v>46736</v>
      </c>
      <c r="T28" s="40"/>
      <c r="U28" s="40"/>
      <c r="V28" s="40"/>
      <c r="W28" s="40"/>
      <c r="X28" s="40">
        <v>0</v>
      </c>
      <c r="Z28" s="85">
        <v>46736</v>
      </c>
      <c r="AA28" s="40"/>
      <c r="AB28" s="40"/>
      <c r="AC28" s="40"/>
      <c r="AD28" s="40"/>
      <c r="AE28" s="40">
        <v>0</v>
      </c>
      <c r="AG28" s="85">
        <v>46736</v>
      </c>
      <c r="AH28" s="40"/>
      <c r="AI28" s="40"/>
      <c r="AJ28" s="40"/>
      <c r="AK28" s="40"/>
      <c r="AL28" s="40">
        <v>0</v>
      </c>
      <c r="AN28" s="85">
        <v>46736</v>
      </c>
      <c r="AO28" s="40"/>
      <c r="AP28" s="40"/>
      <c r="AQ28" s="40"/>
      <c r="AR28" s="40">
        <v>0</v>
      </c>
      <c r="AT28" s="85">
        <v>46736</v>
      </c>
      <c r="AU28" s="40"/>
      <c r="AV28" s="87">
        <v>0</v>
      </c>
      <c r="AW28" s="40"/>
      <c r="AX28" s="40">
        <v>0</v>
      </c>
      <c r="AZ28" s="85">
        <v>46736</v>
      </c>
      <c r="BA28" s="40"/>
      <c r="BB28" s="87"/>
      <c r="BC28" s="40"/>
      <c r="BD28" s="40"/>
      <c r="BE28" s="40">
        <f t="shared" si="0"/>
        <v>0</v>
      </c>
      <c r="BF28" s="67"/>
      <c r="BG28" s="85">
        <v>46736</v>
      </c>
      <c r="BI28" s="40"/>
      <c r="BJ28" s="87"/>
      <c r="BL28" s="40">
        <v>0</v>
      </c>
      <c r="BM28" s="67"/>
      <c r="BN28" s="85">
        <v>46736</v>
      </c>
      <c r="BO28" s="40"/>
      <c r="BP28" s="87"/>
      <c r="BQ28" s="40"/>
      <c r="BR28" s="87"/>
      <c r="BS28" s="40"/>
      <c r="BT28" s="87"/>
      <c r="BU28" s="40"/>
      <c r="BV28" s="87"/>
      <c r="BW28" s="40">
        <f t="shared" si="13"/>
        <v>18269725</v>
      </c>
      <c r="BX28" s="40"/>
      <c r="BY28" s="40">
        <f t="shared" si="14"/>
        <v>18269725</v>
      </c>
      <c r="BZ28" s="67"/>
      <c r="CA28" s="85">
        <v>46736</v>
      </c>
      <c r="CB28" s="40"/>
      <c r="CC28" s="87"/>
      <c r="CD28" s="40">
        <f t="shared" si="15"/>
        <v>4176700</v>
      </c>
      <c r="CE28" s="40">
        <f t="shared" si="1"/>
        <v>4176700</v>
      </c>
      <c r="CF28" s="67"/>
      <c r="CG28" s="85">
        <v>46736</v>
      </c>
      <c r="CH28" s="40"/>
      <c r="CI28" s="102"/>
      <c r="CJ28" s="40"/>
      <c r="CK28" s="40"/>
      <c r="CL28" s="40">
        <f t="shared" si="2"/>
        <v>0</v>
      </c>
      <c r="CM28" s="40"/>
      <c r="CN28" s="85">
        <v>46736</v>
      </c>
      <c r="CS28" s="40">
        <f t="shared" si="3"/>
        <v>0</v>
      </c>
      <c r="CT28" s="85"/>
      <c r="CU28" s="85">
        <v>46736</v>
      </c>
      <c r="DA28" s="85">
        <v>46736</v>
      </c>
      <c r="DB28" s="40"/>
      <c r="DC28" s="40"/>
      <c r="DD28" s="40"/>
      <c r="DE28" s="40">
        <v>0</v>
      </c>
      <c r="DG28" s="85">
        <v>46736</v>
      </c>
      <c r="DK28" s="40">
        <v>0</v>
      </c>
      <c r="DM28" s="85">
        <v>46736</v>
      </c>
      <c r="DR28" s="40">
        <f t="shared" si="4"/>
        <v>0</v>
      </c>
      <c r="DT28" s="85">
        <v>46736</v>
      </c>
      <c r="DU28" s="40"/>
      <c r="DV28" s="87"/>
      <c r="DW28" s="40"/>
      <c r="DX28" s="40"/>
      <c r="DY28" s="40">
        <f t="shared" si="5"/>
        <v>0</v>
      </c>
      <c r="EA28" s="85">
        <v>46736</v>
      </c>
      <c r="EF28" s="40">
        <f t="shared" si="6"/>
        <v>0</v>
      </c>
      <c r="EH28" s="85">
        <v>46736</v>
      </c>
      <c r="EM28" s="40">
        <f t="shared" si="7"/>
        <v>0</v>
      </c>
    </row>
    <row r="29" spans="2:143" x14ac:dyDescent="0.4">
      <c r="B29" s="85">
        <v>46934</v>
      </c>
      <c r="C29" s="85"/>
      <c r="D29" s="85">
        <v>46919</v>
      </c>
      <c r="E29" s="40">
        <f t="shared" si="8"/>
        <v>0</v>
      </c>
      <c r="F29" s="40">
        <f t="shared" si="9"/>
        <v>23156225</v>
      </c>
      <c r="G29" s="40">
        <f t="shared" si="10"/>
        <v>0</v>
      </c>
      <c r="H29" s="39">
        <v>0</v>
      </c>
      <c r="I29" s="40">
        <f t="shared" si="11"/>
        <v>23156225</v>
      </c>
      <c r="J29" s="40">
        <f>SUM(I28:I29)</f>
        <v>47639212.5</v>
      </c>
      <c r="L29" s="85">
        <v>46919</v>
      </c>
      <c r="M29" s="40"/>
      <c r="N29" s="101"/>
      <c r="O29" s="40">
        <f t="shared" si="16"/>
        <v>709800</v>
      </c>
      <c r="P29" s="40"/>
      <c r="Q29" s="40">
        <f t="shared" si="12"/>
        <v>709800</v>
      </c>
      <c r="S29" s="85">
        <v>46919</v>
      </c>
      <c r="T29" s="40"/>
      <c r="U29" s="40"/>
      <c r="V29" s="40"/>
      <c r="W29" s="40"/>
      <c r="X29" s="40">
        <v>0</v>
      </c>
      <c r="Z29" s="85">
        <v>46919</v>
      </c>
      <c r="AA29" s="40"/>
      <c r="AB29" s="40"/>
      <c r="AC29" s="40"/>
      <c r="AD29" s="40"/>
      <c r="AE29" s="40">
        <v>0</v>
      </c>
      <c r="AG29" s="85">
        <v>46919</v>
      </c>
      <c r="AH29" s="40"/>
      <c r="AI29" s="40"/>
      <c r="AJ29" s="40"/>
      <c r="AK29" s="40"/>
      <c r="AL29" s="40">
        <v>0</v>
      </c>
      <c r="AN29" s="85">
        <v>46919</v>
      </c>
      <c r="AO29" s="40"/>
      <c r="AP29" s="40"/>
      <c r="AQ29" s="40"/>
      <c r="AR29" s="40">
        <v>0</v>
      </c>
      <c r="AT29" s="85">
        <v>46919</v>
      </c>
      <c r="AU29" s="40"/>
      <c r="AV29" s="87">
        <v>0</v>
      </c>
      <c r="AW29" s="40"/>
      <c r="AX29" s="40">
        <v>0</v>
      </c>
      <c r="AZ29" s="85">
        <v>46919</v>
      </c>
      <c r="BA29" s="40"/>
      <c r="BB29" s="87"/>
      <c r="BC29" s="40"/>
      <c r="BD29" s="40"/>
      <c r="BE29" s="40">
        <f t="shared" si="0"/>
        <v>0</v>
      </c>
      <c r="BF29" s="67"/>
      <c r="BG29" s="85">
        <v>46919</v>
      </c>
      <c r="BI29" s="40"/>
      <c r="BJ29" s="87"/>
      <c r="BL29" s="40">
        <v>0</v>
      </c>
      <c r="BM29" s="67"/>
      <c r="BN29" s="85">
        <v>46919</v>
      </c>
      <c r="BO29" s="40"/>
      <c r="BP29" s="87"/>
      <c r="BQ29" s="40"/>
      <c r="BR29" s="87"/>
      <c r="BS29" s="40"/>
      <c r="BT29" s="87"/>
      <c r="BU29" s="40"/>
      <c r="BV29" s="87"/>
      <c r="BW29" s="40">
        <f t="shared" si="13"/>
        <v>18269725</v>
      </c>
      <c r="BX29" s="40"/>
      <c r="BY29" s="40">
        <f t="shared" si="14"/>
        <v>18269725</v>
      </c>
      <c r="BZ29" s="67"/>
      <c r="CA29" s="85">
        <v>46919</v>
      </c>
      <c r="CB29" s="40"/>
      <c r="CC29" s="87"/>
      <c r="CD29" s="40">
        <f t="shared" si="15"/>
        <v>4176700</v>
      </c>
      <c r="CE29" s="40">
        <f t="shared" si="1"/>
        <v>4176700</v>
      </c>
      <c r="CF29" s="67"/>
      <c r="CG29" s="85">
        <v>46919</v>
      </c>
      <c r="CH29" s="40"/>
      <c r="CI29" s="102"/>
      <c r="CJ29" s="40"/>
      <c r="CK29" s="40"/>
      <c r="CL29" s="40">
        <f t="shared" si="2"/>
        <v>0</v>
      </c>
      <c r="CM29" s="40"/>
      <c r="CN29" s="85">
        <v>46919</v>
      </c>
      <c r="CS29" s="40">
        <f t="shared" si="3"/>
        <v>0</v>
      </c>
      <c r="CT29" s="85"/>
      <c r="CU29" s="85">
        <v>46919</v>
      </c>
      <c r="DA29" s="85">
        <v>46919</v>
      </c>
      <c r="DB29" s="40"/>
      <c r="DC29" s="40"/>
      <c r="DD29" s="40"/>
      <c r="DE29" s="40">
        <v>0</v>
      </c>
      <c r="DG29" s="85">
        <v>46919</v>
      </c>
      <c r="DK29" s="40">
        <v>0</v>
      </c>
      <c r="DM29" s="85">
        <v>46919</v>
      </c>
      <c r="DR29" s="40">
        <f t="shared" si="4"/>
        <v>0</v>
      </c>
      <c r="DT29" s="85">
        <v>46919</v>
      </c>
      <c r="DU29" s="40"/>
      <c r="DV29" s="87"/>
      <c r="DW29" s="40"/>
      <c r="DX29" s="40"/>
      <c r="DY29" s="40">
        <f t="shared" si="5"/>
        <v>0</v>
      </c>
      <c r="EA29" s="85">
        <v>46919</v>
      </c>
      <c r="EF29" s="40">
        <f t="shared" si="6"/>
        <v>0</v>
      </c>
      <c r="EH29" s="85">
        <v>46919</v>
      </c>
      <c r="EM29" s="40">
        <f t="shared" si="7"/>
        <v>0</v>
      </c>
    </row>
    <row r="30" spans="2:143" x14ac:dyDescent="0.4">
      <c r="B30" s="85">
        <v>47118</v>
      </c>
      <c r="C30" s="85"/>
      <c r="D30" s="85">
        <v>47102</v>
      </c>
      <c r="E30" s="40">
        <f t="shared" si="8"/>
        <v>952466.2</v>
      </c>
      <c r="F30" s="40">
        <f t="shared" si="9"/>
        <v>23156225</v>
      </c>
      <c r="G30" s="40">
        <f t="shared" si="10"/>
        <v>377533.80000000005</v>
      </c>
      <c r="H30" s="39">
        <v>0</v>
      </c>
      <c r="I30" s="40">
        <f t="shared" si="11"/>
        <v>24486225</v>
      </c>
      <c r="J30" s="40"/>
      <c r="L30" s="85">
        <v>47102</v>
      </c>
      <c r="M30" s="40">
        <v>952466.2</v>
      </c>
      <c r="N30" s="101">
        <v>6.5000000000000002E-2</v>
      </c>
      <c r="O30" s="40">
        <f t="shared" si="16"/>
        <v>709800</v>
      </c>
      <c r="P30" s="40">
        <f>1330000-M30</f>
        <v>377533.80000000005</v>
      </c>
      <c r="Q30" s="40">
        <f t="shared" si="12"/>
        <v>2039800</v>
      </c>
      <c r="S30" s="85">
        <v>47102</v>
      </c>
      <c r="T30" s="40"/>
      <c r="U30" s="40"/>
      <c r="V30" s="40"/>
      <c r="W30" s="40"/>
      <c r="X30" s="40">
        <v>0</v>
      </c>
      <c r="Z30" s="85">
        <v>47102</v>
      </c>
      <c r="AA30" s="40"/>
      <c r="AB30" s="40"/>
      <c r="AC30" s="40"/>
      <c r="AD30" s="40"/>
      <c r="AE30" s="40">
        <v>0</v>
      </c>
      <c r="AG30" s="85">
        <v>47102</v>
      </c>
      <c r="AH30" s="40"/>
      <c r="AI30" s="40"/>
      <c r="AJ30" s="40"/>
      <c r="AK30" s="40"/>
      <c r="AL30" s="40">
        <v>0</v>
      </c>
      <c r="AN30" s="85">
        <v>47102</v>
      </c>
      <c r="AO30" s="40"/>
      <c r="AP30" s="40"/>
      <c r="AQ30" s="40"/>
      <c r="AR30" s="40">
        <v>0</v>
      </c>
      <c r="AT30" s="85">
        <v>47102</v>
      </c>
      <c r="AU30" s="40"/>
      <c r="AV30" s="87">
        <v>0</v>
      </c>
      <c r="AW30" s="40"/>
      <c r="AX30" s="40">
        <v>0</v>
      </c>
      <c r="AZ30" s="85">
        <v>47102</v>
      </c>
      <c r="BA30" s="40"/>
      <c r="BB30" s="87"/>
      <c r="BC30" s="40"/>
      <c r="BD30" s="40"/>
      <c r="BE30" s="40">
        <f t="shared" si="0"/>
        <v>0</v>
      </c>
      <c r="BF30" s="67"/>
      <c r="BG30" s="85">
        <v>47102</v>
      </c>
      <c r="BI30" s="40"/>
      <c r="BJ30" s="87"/>
      <c r="BL30" s="40">
        <v>0</v>
      </c>
      <c r="BM30" s="67"/>
      <c r="BN30" s="85">
        <v>47102</v>
      </c>
      <c r="BO30" s="40"/>
      <c r="BP30" s="87"/>
      <c r="BQ30" s="40"/>
      <c r="BR30" s="87"/>
      <c r="BS30" s="40"/>
      <c r="BT30" s="87"/>
      <c r="BU30" s="40"/>
      <c r="BV30" s="87"/>
      <c r="BW30" s="40">
        <f t="shared" si="13"/>
        <v>18269725</v>
      </c>
      <c r="BX30" s="40"/>
      <c r="BY30" s="40">
        <f t="shared" si="14"/>
        <v>18269725</v>
      </c>
      <c r="BZ30" s="67"/>
      <c r="CA30" s="85">
        <v>47102</v>
      </c>
      <c r="CB30" s="40"/>
      <c r="CC30" s="87"/>
      <c r="CD30" s="40">
        <f t="shared" si="15"/>
        <v>4176700</v>
      </c>
      <c r="CE30" s="40">
        <f t="shared" si="1"/>
        <v>4176700</v>
      </c>
      <c r="CF30" s="67"/>
      <c r="CG30" s="85">
        <v>47102</v>
      </c>
      <c r="CH30" s="40"/>
      <c r="CI30" s="102"/>
      <c r="CJ30" s="40"/>
      <c r="CK30" s="40"/>
      <c r="CL30" s="40">
        <f t="shared" si="2"/>
        <v>0</v>
      </c>
      <c r="CM30" s="40"/>
      <c r="CN30" s="85">
        <v>47102</v>
      </c>
      <c r="CS30" s="40">
        <f t="shared" si="3"/>
        <v>0</v>
      </c>
      <c r="CT30" s="85"/>
      <c r="CU30" s="85">
        <v>47102</v>
      </c>
      <c r="DA30" s="85">
        <v>47102</v>
      </c>
      <c r="DB30" s="40"/>
      <c r="DC30" s="40"/>
      <c r="DD30" s="40"/>
      <c r="DE30" s="40">
        <v>0</v>
      </c>
      <c r="DG30" s="85">
        <v>47102</v>
      </c>
      <c r="DK30" s="40">
        <v>0</v>
      </c>
      <c r="DM30" s="85">
        <v>47102</v>
      </c>
      <c r="DR30" s="40">
        <f t="shared" si="4"/>
        <v>0</v>
      </c>
      <c r="DT30" s="85">
        <v>47102</v>
      </c>
      <c r="DU30" s="40"/>
      <c r="DV30" s="87"/>
      <c r="DW30" s="40"/>
      <c r="DX30" s="40"/>
      <c r="DY30" s="40">
        <f t="shared" si="5"/>
        <v>0</v>
      </c>
      <c r="EA30" s="85">
        <v>47102</v>
      </c>
      <c r="EF30" s="40">
        <f t="shared" si="6"/>
        <v>0</v>
      </c>
      <c r="EH30" s="85">
        <v>47102</v>
      </c>
      <c r="EM30" s="40">
        <f t="shared" si="7"/>
        <v>0</v>
      </c>
    </row>
    <row r="31" spans="2:143" x14ac:dyDescent="0.4">
      <c r="B31" s="85">
        <v>47299</v>
      </c>
      <c r="C31" s="85"/>
      <c r="D31" s="85">
        <v>47284</v>
      </c>
      <c r="E31" s="40">
        <f t="shared" si="8"/>
        <v>0</v>
      </c>
      <c r="F31" s="40">
        <f t="shared" si="9"/>
        <v>23113000</v>
      </c>
      <c r="G31" s="40">
        <f t="shared" si="10"/>
        <v>0</v>
      </c>
      <c r="H31" s="39">
        <v>0</v>
      </c>
      <c r="I31" s="40">
        <f t="shared" si="11"/>
        <v>23113000</v>
      </c>
      <c r="J31" s="40">
        <f>SUM(I30:I31)</f>
        <v>47599225</v>
      </c>
      <c r="L31" s="85">
        <v>47284</v>
      </c>
      <c r="M31" s="40"/>
      <c r="N31" s="101"/>
      <c r="O31" s="40">
        <f t="shared" si="16"/>
        <v>666575</v>
      </c>
      <c r="P31" s="40"/>
      <c r="Q31" s="40">
        <f t="shared" si="12"/>
        <v>666575</v>
      </c>
      <c r="S31" s="85">
        <v>47284</v>
      </c>
      <c r="T31" s="40"/>
      <c r="U31" s="40"/>
      <c r="V31" s="40"/>
      <c r="W31" s="40"/>
      <c r="X31" s="40">
        <v>0</v>
      </c>
      <c r="Z31" s="85">
        <v>47284</v>
      </c>
      <c r="AA31" s="40"/>
      <c r="AB31" s="40"/>
      <c r="AC31" s="40"/>
      <c r="AD31" s="40"/>
      <c r="AE31" s="40">
        <v>0</v>
      </c>
      <c r="AG31" s="85">
        <v>47284</v>
      </c>
      <c r="AH31" s="40"/>
      <c r="AI31" s="40"/>
      <c r="AJ31" s="40"/>
      <c r="AK31" s="40"/>
      <c r="AL31" s="40">
        <v>0</v>
      </c>
      <c r="AN31" s="85">
        <v>47284</v>
      </c>
      <c r="AO31" s="40"/>
      <c r="AP31" s="40"/>
      <c r="AQ31" s="40"/>
      <c r="AR31" s="40">
        <v>0</v>
      </c>
      <c r="AT31" s="85">
        <v>47284</v>
      </c>
      <c r="AU31" s="40"/>
      <c r="AV31" s="87">
        <v>0</v>
      </c>
      <c r="AW31" s="40"/>
      <c r="AX31" s="40">
        <v>0</v>
      </c>
      <c r="AZ31" s="85">
        <v>47284</v>
      </c>
      <c r="BA31" s="40"/>
      <c r="BB31" s="87"/>
      <c r="BC31" s="40"/>
      <c r="BD31" s="40"/>
      <c r="BE31" s="40">
        <f t="shared" si="0"/>
        <v>0</v>
      </c>
      <c r="BF31" s="67"/>
      <c r="BG31" s="85">
        <v>47284</v>
      </c>
      <c r="BI31" s="40"/>
      <c r="BJ31" s="87"/>
      <c r="BL31" s="40">
        <v>0</v>
      </c>
      <c r="BM31" s="67"/>
      <c r="BN31" s="85">
        <v>47284</v>
      </c>
      <c r="BO31" s="40"/>
      <c r="BP31" s="87"/>
      <c r="BQ31" s="40"/>
      <c r="BR31" s="87"/>
      <c r="BS31" s="40"/>
      <c r="BT31" s="87"/>
      <c r="BU31" s="40"/>
      <c r="BV31" s="87"/>
      <c r="BW31" s="40">
        <f t="shared" si="13"/>
        <v>18269725</v>
      </c>
      <c r="BX31" s="40"/>
      <c r="BY31" s="40">
        <f t="shared" si="14"/>
        <v>18269725</v>
      </c>
      <c r="BZ31" s="67"/>
      <c r="CA31" s="85">
        <v>47284</v>
      </c>
      <c r="CB31" s="40"/>
      <c r="CC31" s="87"/>
      <c r="CD31" s="40">
        <f t="shared" si="15"/>
        <v>4176700</v>
      </c>
      <c r="CE31" s="40">
        <f t="shared" si="1"/>
        <v>4176700</v>
      </c>
      <c r="CF31" s="67"/>
      <c r="CG31" s="85">
        <v>47284</v>
      </c>
      <c r="CH31" s="40"/>
      <c r="CI31" s="102"/>
      <c r="CJ31" s="40"/>
      <c r="CK31" s="40"/>
      <c r="CL31" s="40">
        <f t="shared" si="2"/>
        <v>0</v>
      </c>
      <c r="CM31" s="40"/>
      <c r="CN31" s="85">
        <v>47284</v>
      </c>
      <c r="CS31" s="40">
        <f t="shared" si="3"/>
        <v>0</v>
      </c>
      <c r="CT31" s="85"/>
      <c r="CU31" s="85">
        <v>47284</v>
      </c>
      <c r="DA31" s="85">
        <v>47284</v>
      </c>
      <c r="DB31" s="40"/>
      <c r="DC31" s="40"/>
      <c r="DD31" s="40"/>
      <c r="DE31" s="40">
        <v>0</v>
      </c>
      <c r="DG31" s="85">
        <v>47284</v>
      </c>
      <c r="DK31" s="40">
        <v>0</v>
      </c>
      <c r="DM31" s="85">
        <v>47284</v>
      </c>
      <c r="DR31" s="40">
        <f t="shared" si="4"/>
        <v>0</v>
      </c>
      <c r="DT31" s="85">
        <v>47284</v>
      </c>
      <c r="DU31" s="40"/>
      <c r="DV31" s="87"/>
      <c r="DW31" s="40"/>
      <c r="DX31" s="40"/>
      <c r="DY31" s="40">
        <f t="shared" si="5"/>
        <v>0</v>
      </c>
      <c r="EA31" s="85">
        <v>47284</v>
      </c>
      <c r="EF31" s="40">
        <f t="shared" si="6"/>
        <v>0</v>
      </c>
      <c r="EH31" s="85">
        <v>47284</v>
      </c>
      <c r="EM31" s="40">
        <f t="shared" si="7"/>
        <v>0</v>
      </c>
    </row>
    <row r="32" spans="2:143" x14ac:dyDescent="0.4">
      <c r="B32" s="85">
        <v>47483</v>
      </c>
      <c r="C32" s="85"/>
      <c r="D32" s="85">
        <v>47467</v>
      </c>
      <c r="E32" s="40">
        <f t="shared" si="8"/>
        <v>0</v>
      </c>
      <c r="F32" s="40">
        <f t="shared" si="9"/>
        <v>23113000</v>
      </c>
      <c r="G32" s="40">
        <f t="shared" si="10"/>
        <v>0</v>
      </c>
      <c r="H32" s="39">
        <v>0</v>
      </c>
      <c r="I32" s="40">
        <f t="shared" si="11"/>
        <v>23113000</v>
      </c>
      <c r="J32" s="40"/>
      <c r="L32" s="85">
        <v>47467</v>
      </c>
      <c r="M32" s="40"/>
      <c r="N32" s="101"/>
      <c r="O32" s="40">
        <f t="shared" si="16"/>
        <v>666575</v>
      </c>
      <c r="P32" s="40"/>
      <c r="Q32" s="40">
        <f t="shared" si="12"/>
        <v>666575</v>
      </c>
      <c r="S32" s="85">
        <v>47467</v>
      </c>
      <c r="T32" s="40"/>
      <c r="U32" s="40"/>
      <c r="V32" s="40"/>
      <c r="W32" s="40"/>
      <c r="X32" s="40">
        <v>0</v>
      </c>
      <c r="Z32" s="85">
        <v>47467</v>
      </c>
      <c r="AA32" s="40"/>
      <c r="AB32" s="40"/>
      <c r="AC32" s="40"/>
      <c r="AD32" s="40"/>
      <c r="AE32" s="40">
        <v>0</v>
      </c>
      <c r="AG32" s="85">
        <v>47467</v>
      </c>
      <c r="AH32" s="40"/>
      <c r="AI32" s="40"/>
      <c r="AJ32" s="40"/>
      <c r="AK32" s="40"/>
      <c r="AL32" s="40">
        <v>0</v>
      </c>
      <c r="AN32" s="85">
        <v>47467</v>
      </c>
      <c r="AO32" s="40"/>
      <c r="AP32" s="40"/>
      <c r="AQ32" s="40"/>
      <c r="AR32" s="40">
        <v>0</v>
      </c>
      <c r="AT32" s="85">
        <v>47467</v>
      </c>
      <c r="AU32" s="40"/>
      <c r="AV32" s="87">
        <v>0</v>
      </c>
      <c r="AW32" s="40"/>
      <c r="AX32" s="40">
        <v>0</v>
      </c>
      <c r="AZ32" s="85">
        <v>47467</v>
      </c>
      <c r="BA32" s="40"/>
      <c r="BB32" s="87"/>
      <c r="BC32" s="40"/>
      <c r="BD32" s="40"/>
      <c r="BE32" s="40">
        <f t="shared" si="0"/>
        <v>0</v>
      </c>
      <c r="BF32" s="67"/>
      <c r="BG32" s="85">
        <v>47467</v>
      </c>
      <c r="BI32" s="40"/>
      <c r="BJ32" s="87"/>
      <c r="BL32" s="40">
        <v>0</v>
      </c>
      <c r="BM32" s="67"/>
      <c r="BN32" s="85">
        <v>47467</v>
      </c>
      <c r="BO32" s="40"/>
      <c r="BP32" s="87"/>
      <c r="BQ32" s="40"/>
      <c r="BR32" s="87"/>
      <c r="BS32" s="40"/>
      <c r="BT32" s="87"/>
      <c r="BU32" s="40"/>
      <c r="BV32" s="87"/>
      <c r="BW32" s="40">
        <f t="shared" si="13"/>
        <v>18269725</v>
      </c>
      <c r="BX32" s="40"/>
      <c r="BY32" s="40">
        <f t="shared" si="14"/>
        <v>18269725</v>
      </c>
      <c r="BZ32" s="67"/>
      <c r="CA32" s="85">
        <v>47467</v>
      </c>
      <c r="CB32" s="40"/>
      <c r="CC32" s="87"/>
      <c r="CD32" s="40">
        <f t="shared" si="15"/>
        <v>4176700</v>
      </c>
      <c r="CE32" s="40">
        <f t="shared" si="1"/>
        <v>4176700</v>
      </c>
      <c r="CF32" s="67"/>
      <c r="CG32" s="85">
        <v>47467</v>
      </c>
      <c r="CH32" s="40"/>
      <c r="CI32" s="102"/>
      <c r="CJ32" s="40"/>
      <c r="CK32" s="40"/>
      <c r="CL32" s="40">
        <f t="shared" si="2"/>
        <v>0</v>
      </c>
      <c r="CM32" s="40"/>
      <c r="CN32" s="85">
        <v>47467</v>
      </c>
      <c r="CS32" s="40">
        <f t="shared" si="3"/>
        <v>0</v>
      </c>
      <c r="CT32" s="85"/>
      <c r="CU32" s="85">
        <v>47467</v>
      </c>
      <c r="DA32" s="85">
        <v>47467</v>
      </c>
      <c r="DE32" s="40">
        <v>0</v>
      </c>
      <c r="DG32" s="85">
        <v>47467</v>
      </c>
      <c r="DK32" s="40">
        <v>0</v>
      </c>
      <c r="DM32" s="85">
        <v>47467</v>
      </c>
      <c r="DR32" s="40">
        <f t="shared" si="4"/>
        <v>0</v>
      </c>
      <c r="DT32" s="85">
        <v>47467</v>
      </c>
      <c r="DY32" s="40">
        <f t="shared" si="5"/>
        <v>0</v>
      </c>
      <c r="EA32" s="85">
        <v>47467</v>
      </c>
      <c r="EF32" s="40">
        <f t="shared" si="6"/>
        <v>0</v>
      </c>
      <c r="EH32" s="85">
        <v>47467</v>
      </c>
      <c r="EM32" s="40">
        <f t="shared" si="7"/>
        <v>0</v>
      </c>
    </row>
    <row r="33" spans="2:143" x14ac:dyDescent="0.4">
      <c r="B33" s="85">
        <v>47664</v>
      </c>
      <c r="C33" s="85"/>
      <c r="D33" s="85">
        <v>47649</v>
      </c>
      <c r="E33" s="40">
        <f t="shared" si="8"/>
        <v>981111.8</v>
      </c>
      <c r="F33" s="40">
        <f t="shared" si="9"/>
        <v>23113000</v>
      </c>
      <c r="G33" s="40">
        <f t="shared" si="10"/>
        <v>388888.19999999995</v>
      </c>
      <c r="H33" s="39">
        <v>0</v>
      </c>
      <c r="I33" s="40">
        <f t="shared" si="11"/>
        <v>24483000</v>
      </c>
      <c r="J33" s="40">
        <f>SUM(I32:I33)</f>
        <v>47596000</v>
      </c>
      <c r="L33" s="85">
        <v>47649</v>
      </c>
      <c r="M33" s="40">
        <v>981111.8</v>
      </c>
      <c r="N33" s="101">
        <v>6.5000000000000002E-2</v>
      </c>
      <c r="O33" s="40">
        <f t="shared" si="16"/>
        <v>666575</v>
      </c>
      <c r="P33" s="40">
        <f>1370000-M33</f>
        <v>388888.19999999995</v>
      </c>
      <c r="Q33" s="40">
        <f t="shared" si="12"/>
        <v>2036575</v>
      </c>
      <c r="S33" s="85">
        <v>47649</v>
      </c>
      <c r="T33" s="40"/>
      <c r="U33" s="40"/>
      <c r="V33" s="40"/>
      <c r="W33" s="40"/>
      <c r="X33" s="40">
        <v>0</v>
      </c>
      <c r="Z33" s="85">
        <v>47649</v>
      </c>
      <c r="AA33" s="40"/>
      <c r="AB33" s="40"/>
      <c r="AC33" s="40"/>
      <c r="AD33" s="40"/>
      <c r="AE33" s="40">
        <v>0</v>
      </c>
      <c r="AG33" s="85">
        <v>47649</v>
      </c>
      <c r="AH33" s="40"/>
      <c r="AI33" s="40"/>
      <c r="AJ33" s="40"/>
      <c r="AK33" s="40"/>
      <c r="AL33" s="40">
        <v>0</v>
      </c>
      <c r="AN33" s="85">
        <v>47649</v>
      </c>
      <c r="AO33" s="40"/>
      <c r="AP33" s="40"/>
      <c r="AQ33" s="40"/>
      <c r="AR33" s="40">
        <v>0</v>
      </c>
      <c r="AT33" s="85">
        <v>47649</v>
      </c>
      <c r="AU33" s="40"/>
      <c r="AV33" s="87">
        <v>0</v>
      </c>
      <c r="AW33" s="40"/>
      <c r="AX33" s="40">
        <v>0</v>
      </c>
      <c r="AZ33" s="85">
        <v>47649</v>
      </c>
      <c r="BA33" s="40"/>
      <c r="BB33" s="87"/>
      <c r="BC33" s="40"/>
      <c r="BD33" s="40"/>
      <c r="BE33" s="40">
        <f t="shared" si="0"/>
        <v>0</v>
      </c>
      <c r="BF33" s="67"/>
      <c r="BG33" s="85">
        <v>47649</v>
      </c>
      <c r="BI33" s="40"/>
      <c r="BJ33" s="87"/>
      <c r="BL33" s="40">
        <v>0</v>
      </c>
      <c r="BM33" s="67"/>
      <c r="BN33" s="85">
        <v>47649</v>
      </c>
      <c r="BO33" s="40"/>
      <c r="BP33" s="87"/>
      <c r="BQ33" s="40"/>
      <c r="BR33" s="87"/>
      <c r="BS33" s="40"/>
      <c r="BT33" s="87"/>
      <c r="BU33" s="40"/>
      <c r="BV33" s="87"/>
      <c r="BW33" s="40">
        <f t="shared" si="13"/>
        <v>18269725</v>
      </c>
      <c r="BX33" s="40"/>
      <c r="BY33" s="40">
        <f t="shared" si="14"/>
        <v>18269725</v>
      </c>
      <c r="BZ33" s="67"/>
      <c r="CA33" s="85">
        <v>47649</v>
      </c>
      <c r="CB33" s="40"/>
      <c r="CC33" s="87"/>
      <c r="CD33" s="40">
        <f t="shared" si="15"/>
        <v>4176700</v>
      </c>
      <c r="CE33" s="40">
        <f t="shared" si="1"/>
        <v>4176700</v>
      </c>
      <c r="CF33" s="67"/>
      <c r="CG33" s="85">
        <v>47649</v>
      </c>
      <c r="CH33" s="40"/>
      <c r="CI33" s="102"/>
      <c r="CJ33" s="40"/>
      <c r="CK33" s="40"/>
      <c r="CL33" s="40">
        <f t="shared" si="2"/>
        <v>0</v>
      </c>
      <c r="CM33" s="40"/>
      <c r="CN33" s="85">
        <v>47649</v>
      </c>
      <c r="CS33" s="40">
        <f t="shared" si="3"/>
        <v>0</v>
      </c>
      <c r="CT33" s="85"/>
      <c r="CU33" s="85">
        <v>47649</v>
      </c>
      <c r="DA33" s="85">
        <v>47649</v>
      </c>
      <c r="DE33" s="40">
        <v>0</v>
      </c>
      <c r="DG33" s="85">
        <v>47649</v>
      </c>
      <c r="DK33" s="40">
        <v>0</v>
      </c>
      <c r="DM33" s="85">
        <v>47649</v>
      </c>
      <c r="DR33" s="40">
        <f t="shared" si="4"/>
        <v>0</v>
      </c>
      <c r="DT33" s="85">
        <v>47649</v>
      </c>
      <c r="DY33" s="40">
        <f t="shared" si="5"/>
        <v>0</v>
      </c>
      <c r="EA33" s="85">
        <v>47649</v>
      </c>
      <c r="EF33" s="40">
        <f t="shared" si="6"/>
        <v>0</v>
      </c>
      <c r="EH33" s="85">
        <v>47649</v>
      </c>
      <c r="EM33" s="40">
        <f t="shared" si="7"/>
        <v>0</v>
      </c>
    </row>
    <row r="34" spans="2:143" x14ac:dyDescent="0.4">
      <c r="B34" s="85">
        <v>47848</v>
      </c>
      <c r="C34" s="85"/>
      <c r="D34" s="85">
        <v>47832</v>
      </c>
      <c r="E34" s="40">
        <f t="shared" si="8"/>
        <v>0</v>
      </c>
      <c r="F34" s="40">
        <f t="shared" si="9"/>
        <v>23068475</v>
      </c>
      <c r="G34" s="40">
        <f t="shared" si="10"/>
        <v>0</v>
      </c>
      <c r="H34" s="39">
        <v>0</v>
      </c>
      <c r="I34" s="40">
        <f t="shared" si="11"/>
        <v>23068475</v>
      </c>
      <c r="J34" s="40"/>
      <c r="L34" s="85">
        <v>47832</v>
      </c>
      <c r="M34" s="40"/>
      <c r="N34" s="101"/>
      <c r="O34" s="40">
        <f t="shared" si="16"/>
        <v>622050</v>
      </c>
      <c r="P34" s="40"/>
      <c r="Q34" s="40">
        <f t="shared" si="12"/>
        <v>622050</v>
      </c>
      <c r="S34" s="85">
        <v>47832</v>
      </c>
      <c r="T34" s="40"/>
      <c r="U34" s="40"/>
      <c r="V34" s="40"/>
      <c r="W34" s="40"/>
      <c r="X34" s="40">
        <v>0</v>
      </c>
      <c r="Z34" s="85">
        <v>47832</v>
      </c>
      <c r="AA34" s="40"/>
      <c r="AB34" s="40"/>
      <c r="AC34" s="40"/>
      <c r="AD34" s="40"/>
      <c r="AE34" s="40">
        <v>0</v>
      </c>
      <c r="AG34" s="85">
        <v>47832</v>
      </c>
      <c r="AH34" s="40"/>
      <c r="AI34" s="40"/>
      <c r="AJ34" s="40"/>
      <c r="AK34" s="40"/>
      <c r="AL34" s="40">
        <v>0</v>
      </c>
      <c r="AN34" s="85">
        <v>47832</v>
      </c>
      <c r="AO34" s="40"/>
      <c r="AP34" s="40"/>
      <c r="AQ34" s="40"/>
      <c r="AR34" s="40">
        <v>0</v>
      </c>
      <c r="AT34" s="85">
        <v>47832</v>
      </c>
      <c r="AU34" s="40"/>
      <c r="AV34" s="87">
        <v>0</v>
      </c>
      <c r="AW34" s="40"/>
      <c r="AX34" s="40">
        <v>0</v>
      </c>
      <c r="AZ34" s="85">
        <v>47832</v>
      </c>
      <c r="BA34" s="40"/>
      <c r="BB34" s="87"/>
      <c r="BC34" s="40"/>
      <c r="BD34" s="40"/>
      <c r="BE34" s="40">
        <f t="shared" si="0"/>
        <v>0</v>
      </c>
      <c r="BF34" s="67"/>
      <c r="BG34" s="85">
        <v>47832</v>
      </c>
      <c r="BI34" s="40"/>
      <c r="BJ34" s="87"/>
      <c r="BL34" s="40">
        <v>0</v>
      </c>
      <c r="BM34" s="67"/>
      <c r="BN34" s="85">
        <v>47832</v>
      </c>
      <c r="BO34" s="40"/>
      <c r="BP34" s="87"/>
      <c r="BQ34" s="40"/>
      <c r="BR34" s="87"/>
      <c r="BS34" s="40"/>
      <c r="BT34" s="87"/>
      <c r="BU34" s="40"/>
      <c r="BV34" s="87"/>
      <c r="BW34" s="40">
        <f t="shared" si="13"/>
        <v>18269725</v>
      </c>
      <c r="BX34" s="40"/>
      <c r="BY34" s="40">
        <f t="shared" si="14"/>
        <v>18269725</v>
      </c>
      <c r="BZ34" s="67"/>
      <c r="CA34" s="85">
        <v>47832</v>
      </c>
      <c r="CB34" s="40"/>
      <c r="CC34" s="87"/>
      <c r="CD34" s="40">
        <f t="shared" si="15"/>
        <v>4176700</v>
      </c>
      <c r="CE34" s="40">
        <f t="shared" si="1"/>
        <v>4176700</v>
      </c>
      <c r="CF34" s="67"/>
      <c r="CG34" s="85">
        <v>47832</v>
      </c>
      <c r="CH34" s="40"/>
      <c r="CI34" s="102"/>
      <c r="CJ34" s="40"/>
      <c r="CK34" s="40"/>
      <c r="CL34" s="40">
        <f t="shared" si="2"/>
        <v>0</v>
      </c>
      <c r="CM34" s="40"/>
      <c r="CN34" s="85">
        <v>47832</v>
      </c>
      <c r="CS34" s="40">
        <f t="shared" si="3"/>
        <v>0</v>
      </c>
      <c r="CT34" s="85"/>
      <c r="CU34" s="85">
        <v>47832</v>
      </c>
      <c r="DA34" s="85">
        <v>47832</v>
      </c>
      <c r="DE34" s="40">
        <v>0</v>
      </c>
      <c r="DG34" s="85">
        <v>47832</v>
      </c>
      <c r="DK34" s="40">
        <v>0</v>
      </c>
      <c r="DM34" s="85">
        <v>47832</v>
      </c>
      <c r="DR34" s="40">
        <f t="shared" si="4"/>
        <v>0</v>
      </c>
      <c r="DT34" s="85">
        <v>47832</v>
      </c>
      <c r="DY34" s="40">
        <f t="shared" si="5"/>
        <v>0</v>
      </c>
      <c r="EA34" s="85">
        <v>47832</v>
      </c>
      <c r="EF34" s="40">
        <f t="shared" si="6"/>
        <v>0</v>
      </c>
      <c r="EH34" s="85">
        <v>47832</v>
      </c>
      <c r="EM34" s="40">
        <f t="shared" si="7"/>
        <v>0</v>
      </c>
    </row>
    <row r="35" spans="2:143" x14ac:dyDescent="0.4">
      <c r="B35" s="85">
        <v>48029</v>
      </c>
      <c r="C35" s="85"/>
      <c r="D35" s="85">
        <v>48014</v>
      </c>
      <c r="E35" s="40">
        <f t="shared" si="8"/>
        <v>1041983.7</v>
      </c>
      <c r="F35" s="40">
        <f t="shared" si="9"/>
        <v>23068475</v>
      </c>
      <c r="G35" s="40">
        <f t="shared" si="10"/>
        <v>413016.30000000005</v>
      </c>
      <c r="H35" s="39">
        <v>0</v>
      </c>
      <c r="I35" s="40">
        <f t="shared" si="11"/>
        <v>24523475</v>
      </c>
      <c r="J35" s="40">
        <f>SUM(I34:I35)</f>
        <v>47591950</v>
      </c>
      <c r="L35" s="85">
        <v>48014</v>
      </c>
      <c r="M35" s="40">
        <v>1041983.7</v>
      </c>
      <c r="N35" s="101">
        <v>6.5000000000000002E-2</v>
      </c>
      <c r="O35" s="40">
        <f t="shared" si="16"/>
        <v>622050</v>
      </c>
      <c r="P35" s="40">
        <f>1455000-M35</f>
        <v>413016.30000000005</v>
      </c>
      <c r="Q35" s="40">
        <f t="shared" si="12"/>
        <v>2077050</v>
      </c>
      <c r="S35" s="85">
        <v>48014</v>
      </c>
      <c r="T35" s="40"/>
      <c r="U35" s="40"/>
      <c r="V35" s="40"/>
      <c r="W35" s="40"/>
      <c r="X35" s="40">
        <v>0</v>
      </c>
      <c r="Z35" s="85">
        <v>48014</v>
      </c>
      <c r="AA35" s="40"/>
      <c r="AB35" s="40"/>
      <c r="AC35" s="40"/>
      <c r="AD35" s="40"/>
      <c r="AE35" s="40">
        <v>0</v>
      </c>
      <c r="AG35" s="85">
        <v>48014</v>
      </c>
      <c r="AH35" s="40"/>
      <c r="AI35" s="40"/>
      <c r="AJ35" s="40"/>
      <c r="AK35" s="40"/>
      <c r="AL35" s="40">
        <v>0</v>
      </c>
      <c r="AN35" s="85">
        <v>48014</v>
      </c>
      <c r="AO35" s="40"/>
      <c r="AP35" s="40"/>
      <c r="AQ35" s="40"/>
      <c r="AR35" s="40">
        <v>0</v>
      </c>
      <c r="AT35" s="85">
        <v>48014</v>
      </c>
      <c r="AU35" s="40"/>
      <c r="AV35" s="87">
        <v>0</v>
      </c>
      <c r="AW35" s="40"/>
      <c r="AX35" s="40">
        <v>0</v>
      </c>
      <c r="AZ35" s="85">
        <v>48014</v>
      </c>
      <c r="BA35" s="40"/>
      <c r="BB35" s="87"/>
      <c r="BC35" s="40"/>
      <c r="BD35" s="40"/>
      <c r="BE35" s="40">
        <f t="shared" si="0"/>
        <v>0</v>
      </c>
      <c r="BF35" s="67"/>
      <c r="BG35" s="85">
        <v>48014</v>
      </c>
      <c r="BI35" s="40"/>
      <c r="BJ35" s="87"/>
      <c r="BL35" s="40">
        <v>0</v>
      </c>
      <c r="BM35" s="67"/>
      <c r="BN35" s="85">
        <v>48014</v>
      </c>
      <c r="BO35" s="40"/>
      <c r="BP35" s="87"/>
      <c r="BQ35" s="40"/>
      <c r="BR35" s="87"/>
      <c r="BS35" s="40"/>
      <c r="BT35" s="87"/>
      <c r="BU35" s="40"/>
      <c r="BV35" s="87"/>
      <c r="BW35" s="40">
        <f t="shared" si="13"/>
        <v>18269725</v>
      </c>
      <c r="BX35" s="40"/>
      <c r="BY35" s="40">
        <f t="shared" si="14"/>
        <v>18269725</v>
      </c>
      <c r="BZ35" s="67"/>
      <c r="CA35" s="85">
        <v>48014</v>
      </c>
      <c r="CB35" s="40"/>
      <c r="CC35" s="87"/>
      <c r="CD35" s="40">
        <f t="shared" si="15"/>
        <v>4176700</v>
      </c>
      <c r="CE35" s="40">
        <f t="shared" si="1"/>
        <v>4176700</v>
      </c>
      <c r="CF35" s="67"/>
      <c r="CG35" s="85">
        <v>48014</v>
      </c>
      <c r="CH35" s="40"/>
      <c r="CI35" s="102"/>
      <c r="CJ35" s="40"/>
      <c r="CK35" s="40"/>
      <c r="CL35" s="40">
        <f t="shared" si="2"/>
        <v>0</v>
      </c>
      <c r="CM35" s="40"/>
      <c r="CN35" s="85">
        <v>48014</v>
      </c>
      <c r="CS35" s="40">
        <f t="shared" si="3"/>
        <v>0</v>
      </c>
      <c r="CT35" s="85"/>
      <c r="CU35" s="85">
        <v>48014</v>
      </c>
      <c r="DA35" s="85">
        <v>48014</v>
      </c>
      <c r="DE35" s="40">
        <v>0</v>
      </c>
      <c r="DG35" s="85">
        <v>48014</v>
      </c>
      <c r="DK35" s="40">
        <v>0</v>
      </c>
      <c r="DM35" s="85">
        <v>48014</v>
      </c>
      <c r="DR35" s="40">
        <f t="shared" si="4"/>
        <v>0</v>
      </c>
      <c r="DT35" s="85">
        <v>48014</v>
      </c>
      <c r="DY35" s="40">
        <f t="shared" si="5"/>
        <v>0</v>
      </c>
      <c r="EA35" s="85">
        <v>48014</v>
      </c>
      <c r="EF35" s="40">
        <f t="shared" si="6"/>
        <v>0</v>
      </c>
      <c r="EH35" s="85">
        <v>48014</v>
      </c>
      <c r="EM35" s="40">
        <f t="shared" si="7"/>
        <v>0</v>
      </c>
    </row>
    <row r="36" spans="2:143" x14ac:dyDescent="0.4">
      <c r="B36" s="85">
        <v>48213</v>
      </c>
      <c r="C36" s="85"/>
      <c r="D36" s="85">
        <v>48197</v>
      </c>
      <c r="E36" s="40">
        <f t="shared" si="8"/>
        <v>476233.1</v>
      </c>
      <c r="F36" s="40">
        <f t="shared" si="9"/>
        <v>23021187.5</v>
      </c>
      <c r="G36" s="40">
        <f t="shared" si="10"/>
        <v>188766.90000000002</v>
      </c>
      <c r="H36" s="39">
        <v>0</v>
      </c>
      <c r="I36" s="40">
        <f t="shared" si="11"/>
        <v>23686187.5</v>
      </c>
      <c r="J36" s="40"/>
      <c r="L36" s="85">
        <v>48197</v>
      </c>
      <c r="M36" s="40">
        <v>476233.1</v>
      </c>
      <c r="N36" s="101">
        <v>6.5000000000000002E-2</v>
      </c>
      <c r="O36" s="40">
        <f t="shared" si="16"/>
        <v>574762.5</v>
      </c>
      <c r="P36" s="40">
        <f>665000-M36</f>
        <v>188766.90000000002</v>
      </c>
      <c r="Q36" s="40">
        <f t="shared" si="12"/>
        <v>1239762.5</v>
      </c>
      <c r="S36" s="85">
        <v>48197</v>
      </c>
      <c r="T36" s="40"/>
      <c r="U36" s="40"/>
      <c r="V36" s="40"/>
      <c r="W36" s="40"/>
      <c r="X36" s="40">
        <v>0</v>
      </c>
      <c r="Z36" s="85">
        <v>48197</v>
      </c>
      <c r="AA36" s="40"/>
      <c r="AB36" s="40"/>
      <c r="AC36" s="40"/>
      <c r="AD36" s="40"/>
      <c r="AE36" s="40">
        <v>0</v>
      </c>
      <c r="AG36" s="85">
        <v>48197</v>
      </c>
      <c r="AH36" s="40"/>
      <c r="AI36" s="40"/>
      <c r="AJ36" s="40"/>
      <c r="AK36" s="40"/>
      <c r="AL36" s="40">
        <v>0</v>
      </c>
      <c r="AN36" s="85">
        <v>48197</v>
      </c>
      <c r="AO36" s="40"/>
      <c r="AP36" s="40"/>
      <c r="AQ36" s="40"/>
      <c r="AR36" s="40">
        <v>0</v>
      </c>
      <c r="AT36" s="85">
        <v>48197</v>
      </c>
      <c r="AU36" s="40"/>
      <c r="AV36" s="87">
        <v>0</v>
      </c>
      <c r="AW36" s="40"/>
      <c r="AX36" s="40">
        <v>0</v>
      </c>
      <c r="AZ36" s="85">
        <v>48197</v>
      </c>
      <c r="BA36" s="40"/>
      <c r="BB36" s="87"/>
      <c r="BC36" s="40"/>
      <c r="BD36" s="40"/>
      <c r="BE36" s="40">
        <f t="shared" si="0"/>
        <v>0</v>
      </c>
      <c r="BF36" s="67"/>
      <c r="BG36" s="85">
        <v>48197</v>
      </c>
      <c r="BI36" s="40"/>
      <c r="BJ36" s="87"/>
      <c r="BL36" s="40">
        <v>0</v>
      </c>
      <c r="BM36" s="67"/>
      <c r="BN36" s="85">
        <v>48197</v>
      </c>
      <c r="BO36" s="40"/>
      <c r="BP36" s="87"/>
      <c r="BQ36" s="40"/>
      <c r="BR36" s="87"/>
      <c r="BS36" s="40"/>
      <c r="BT36" s="87"/>
      <c r="BU36" s="40"/>
      <c r="BV36" s="87"/>
      <c r="BW36" s="40">
        <f t="shared" si="13"/>
        <v>18269725</v>
      </c>
      <c r="BX36" s="40"/>
      <c r="BY36" s="40">
        <f t="shared" si="14"/>
        <v>18269725</v>
      </c>
      <c r="BZ36" s="67"/>
      <c r="CA36" s="85">
        <v>48197</v>
      </c>
      <c r="CB36" s="40"/>
      <c r="CC36" s="87"/>
      <c r="CD36" s="40">
        <f t="shared" si="15"/>
        <v>4176700</v>
      </c>
      <c r="CE36" s="40">
        <f t="shared" si="1"/>
        <v>4176700</v>
      </c>
      <c r="CF36" s="67"/>
      <c r="CG36" s="85">
        <v>48197</v>
      </c>
      <c r="CH36" s="40"/>
      <c r="CI36" s="102"/>
      <c r="CJ36" s="40"/>
      <c r="CK36" s="40"/>
      <c r="CL36" s="40">
        <f t="shared" si="2"/>
        <v>0</v>
      </c>
      <c r="CM36" s="40"/>
      <c r="CN36" s="85">
        <v>48197</v>
      </c>
      <c r="CS36" s="40">
        <f t="shared" si="3"/>
        <v>0</v>
      </c>
      <c r="CT36" s="85"/>
      <c r="CU36" s="85">
        <v>48197</v>
      </c>
      <c r="DA36" s="85">
        <v>48197</v>
      </c>
      <c r="DE36" s="40">
        <v>0</v>
      </c>
      <c r="DG36" s="85">
        <v>48197</v>
      </c>
      <c r="DK36" s="40">
        <v>0</v>
      </c>
      <c r="DM36" s="85">
        <v>48197</v>
      </c>
      <c r="DR36" s="40">
        <f t="shared" si="4"/>
        <v>0</v>
      </c>
      <c r="DT36" s="85">
        <v>48197</v>
      </c>
      <c r="DY36" s="40">
        <f t="shared" si="5"/>
        <v>0</v>
      </c>
      <c r="EA36" s="85">
        <v>48197</v>
      </c>
      <c r="EF36" s="40">
        <f t="shared" si="6"/>
        <v>0</v>
      </c>
      <c r="EH36" s="85">
        <v>48197</v>
      </c>
      <c r="EM36" s="40">
        <f t="shared" si="7"/>
        <v>0</v>
      </c>
    </row>
    <row r="37" spans="2:143" x14ac:dyDescent="0.4">
      <c r="B37" s="85">
        <v>48395</v>
      </c>
      <c r="C37" s="85"/>
      <c r="D37" s="85">
        <v>48380</v>
      </c>
      <c r="E37" s="40">
        <f t="shared" si="8"/>
        <v>658848.80000000005</v>
      </c>
      <c r="F37" s="40">
        <f t="shared" si="9"/>
        <v>22999575</v>
      </c>
      <c r="G37" s="40">
        <f t="shared" si="10"/>
        <v>261151.19999999995</v>
      </c>
      <c r="H37" s="39">
        <v>0</v>
      </c>
      <c r="I37" s="40">
        <f t="shared" si="11"/>
        <v>23919575</v>
      </c>
      <c r="J37" s="40">
        <f>SUM(I36:I37)</f>
        <v>47605762.5</v>
      </c>
      <c r="L37" s="85">
        <v>48380</v>
      </c>
      <c r="M37" s="40">
        <v>658848.80000000005</v>
      </c>
      <c r="N37" s="101">
        <v>6.5000000000000002E-2</v>
      </c>
      <c r="O37" s="40">
        <f t="shared" si="16"/>
        <v>553150</v>
      </c>
      <c r="P37" s="40">
        <f>920000-M37</f>
        <v>261151.19999999995</v>
      </c>
      <c r="Q37" s="40">
        <f t="shared" si="12"/>
        <v>1473150</v>
      </c>
      <c r="S37" s="85">
        <v>48380</v>
      </c>
      <c r="T37" s="40"/>
      <c r="U37" s="40"/>
      <c r="V37" s="40"/>
      <c r="W37" s="40"/>
      <c r="X37" s="40">
        <v>0</v>
      </c>
      <c r="Z37" s="85">
        <v>48380</v>
      </c>
      <c r="AA37" s="40"/>
      <c r="AB37" s="40"/>
      <c r="AC37" s="40"/>
      <c r="AD37" s="40"/>
      <c r="AE37" s="40">
        <v>0</v>
      </c>
      <c r="AG37" s="85">
        <v>48380</v>
      </c>
      <c r="AH37" s="40"/>
      <c r="AI37" s="40"/>
      <c r="AJ37" s="40"/>
      <c r="AK37" s="40"/>
      <c r="AL37" s="40">
        <v>0</v>
      </c>
      <c r="AN37" s="85">
        <v>48380</v>
      </c>
      <c r="AO37" s="40"/>
      <c r="AP37" s="40"/>
      <c r="AQ37" s="40"/>
      <c r="AR37" s="40">
        <v>0</v>
      </c>
      <c r="AT37" s="85">
        <v>48380</v>
      </c>
      <c r="AU37" s="40"/>
      <c r="AV37" s="87">
        <v>0</v>
      </c>
      <c r="AW37" s="40"/>
      <c r="AX37" s="40">
        <v>0</v>
      </c>
      <c r="AZ37" s="85">
        <v>48380</v>
      </c>
      <c r="BA37" s="40"/>
      <c r="BB37" s="87"/>
      <c r="BC37" s="40"/>
      <c r="BD37" s="40"/>
      <c r="BE37" s="40">
        <f t="shared" si="0"/>
        <v>0</v>
      </c>
      <c r="BF37" s="67"/>
      <c r="BG37" s="85">
        <v>48380</v>
      </c>
      <c r="BI37" s="40"/>
      <c r="BJ37" s="87"/>
      <c r="BL37" s="40">
        <v>0</v>
      </c>
      <c r="BM37" s="67"/>
      <c r="BN37" s="85">
        <v>48380</v>
      </c>
      <c r="BO37" s="40"/>
      <c r="BP37" s="87"/>
      <c r="BQ37" s="40"/>
      <c r="BR37" s="87"/>
      <c r="BS37" s="40"/>
      <c r="BT37" s="87"/>
      <c r="BU37" s="40"/>
      <c r="BV37" s="87"/>
      <c r="BW37" s="40">
        <f t="shared" si="13"/>
        <v>18269725</v>
      </c>
      <c r="BX37" s="40"/>
      <c r="BY37" s="40">
        <f t="shared" si="14"/>
        <v>18269725</v>
      </c>
      <c r="BZ37" s="67"/>
      <c r="CA37" s="85">
        <v>48380</v>
      </c>
      <c r="CB37" s="40"/>
      <c r="CC37" s="87"/>
      <c r="CD37" s="40">
        <f t="shared" si="15"/>
        <v>4176700</v>
      </c>
      <c r="CE37" s="40">
        <f t="shared" si="1"/>
        <v>4176700</v>
      </c>
      <c r="CF37" s="67"/>
      <c r="CG37" s="85">
        <v>48380</v>
      </c>
      <c r="CH37" s="40"/>
      <c r="CI37" s="102"/>
      <c r="CJ37" s="40"/>
      <c r="CK37" s="40"/>
      <c r="CL37" s="40">
        <f t="shared" si="2"/>
        <v>0</v>
      </c>
      <c r="CM37" s="40"/>
      <c r="CN37" s="85">
        <v>48380</v>
      </c>
      <c r="CS37" s="40">
        <f t="shared" si="3"/>
        <v>0</v>
      </c>
      <c r="CT37" s="85"/>
      <c r="CU37" s="85">
        <v>48380</v>
      </c>
      <c r="DA37" s="85">
        <v>48380</v>
      </c>
      <c r="DE37" s="40">
        <v>0</v>
      </c>
      <c r="DG37" s="85">
        <v>48380</v>
      </c>
      <c r="DK37" s="40">
        <v>0</v>
      </c>
      <c r="DM37" s="85">
        <v>48380</v>
      </c>
      <c r="DR37" s="40">
        <f t="shared" si="4"/>
        <v>0</v>
      </c>
      <c r="DT37" s="85">
        <v>48380</v>
      </c>
      <c r="DY37" s="40">
        <f t="shared" si="5"/>
        <v>0</v>
      </c>
      <c r="EA37" s="85">
        <v>48380</v>
      </c>
      <c r="EF37" s="40">
        <f t="shared" si="6"/>
        <v>0</v>
      </c>
      <c r="EH37" s="85">
        <v>48380</v>
      </c>
      <c r="EM37" s="40">
        <f t="shared" si="7"/>
        <v>0</v>
      </c>
    </row>
    <row r="38" spans="2:143" x14ac:dyDescent="0.4">
      <c r="B38" s="85">
        <v>48579</v>
      </c>
      <c r="C38" s="85"/>
      <c r="D38" s="85">
        <v>48563</v>
      </c>
      <c r="E38" s="40">
        <f t="shared" si="8"/>
        <v>436845.4</v>
      </c>
      <c r="F38" s="40">
        <f t="shared" si="9"/>
        <v>22969675</v>
      </c>
      <c r="G38" s="40">
        <f t="shared" si="10"/>
        <v>173154.59999999998</v>
      </c>
      <c r="H38" s="39">
        <v>0</v>
      </c>
      <c r="I38" s="40">
        <f t="shared" si="11"/>
        <v>23579675</v>
      </c>
      <c r="J38" s="40"/>
      <c r="L38" s="85">
        <v>48563</v>
      </c>
      <c r="M38" s="40">
        <v>436845.4</v>
      </c>
      <c r="N38" s="101">
        <v>6.5000000000000002E-2</v>
      </c>
      <c r="O38" s="40">
        <f t="shared" si="16"/>
        <v>523250</v>
      </c>
      <c r="P38" s="40">
        <f>610000-M38</f>
        <v>173154.59999999998</v>
      </c>
      <c r="Q38" s="40">
        <f t="shared" si="12"/>
        <v>1133250</v>
      </c>
      <c r="S38" s="85">
        <v>48563</v>
      </c>
      <c r="T38" s="40"/>
      <c r="U38" s="40"/>
      <c r="V38" s="40"/>
      <c r="W38" s="40"/>
      <c r="X38" s="40">
        <v>0</v>
      </c>
      <c r="Z38" s="85">
        <v>48563</v>
      </c>
      <c r="AA38" s="40"/>
      <c r="AB38" s="40"/>
      <c r="AC38" s="40"/>
      <c r="AD38" s="40"/>
      <c r="AE38" s="40">
        <v>0</v>
      </c>
      <c r="AG38" s="85">
        <v>48563</v>
      </c>
      <c r="AH38" s="40"/>
      <c r="AI38" s="40"/>
      <c r="AJ38" s="40"/>
      <c r="AK38" s="40"/>
      <c r="AL38" s="40">
        <v>0</v>
      </c>
      <c r="AN38" s="85">
        <v>48563</v>
      </c>
      <c r="AO38" s="40"/>
      <c r="AP38" s="40"/>
      <c r="AQ38" s="40"/>
      <c r="AR38" s="40">
        <v>0</v>
      </c>
      <c r="AT38" s="85">
        <v>48563</v>
      </c>
      <c r="AU38" s="40"/>
      <c r="AV38" s="87">
        <v>0</v>
      </c>
      <c r="AW38" s="40"/>
      <c r="AX38" s="40">
        <v>0</v>
      </c>
      <c r="AZ38" s="85">
        <v>48563</v>
      </c>
      <c r="BA38" s="40"/>
      <c r="BB38" s="87"/>
      <c r="BC38" s="40"/>
      <c r="BD38" s="40"/>
      <c r="BE38" s="40">
        <f t="shared" si="0"/>
        <v>0</v>
      </c>
      <c r="BF38" s="67"/>
      <c r="BG38" s="85">
        <v>48563</v>
      </c>
      <c r="BI38" s="40"/>
      <c r="BJ38" s="87"/>
      <c r="BL38" s="40">
        <v>0</v>
      </c>
      <c r="BM38" s="67"/>
      <c r="BN38" s="85">
        <v>48563</v>
      </c>
      <c r="BO38" s="40"/>
      <c r="BP38" s="87"/>
      <c r="BQ38" s="40"/>
      <c r="BR38" s="87"/>
      <c r="BS38" s="40"/>
      <c r="BT38" s="87"/>
      <c r="BU38" s="40"/>
      <c r="BV38" s="87"/>
      <c r="BW38" s="40">
        <f t="shared" si="13"/>
        <v>18269725</v>
      </c>
      <c r="BX38" s="40"/>
      <c r="BY38" s="40">
        <f t="shared" si="14"/>
        <v>18269725</v>
      </c>
      <c r="BZ38" s="67"/>
      <c r="CA38" s="85">
        <v>48563</v>
      </c>
      <c r="CB38" s="40"/>
      <c r="CC38" s="87"/>
      <c r="CD38" s="40">
        <f t="shared" si="15"/>
        <v>4176700</v>
      </c>
      <c r="CE38" s="40">
        <f t="shared" si="1"/>
        <v>4176700</v>
      </c>
      <c r="CF38" s="67"/>
      <c r="CG38" s="85">
        <v>48563</v>
      </c>
      <c r="CH38" s="40"/>
      <c r="CI38" s="102"/>
      <c r="CJ38" s="40"/>
      <c r="CK38" s="40"/>
      <c r="CL38" s="40">
        <f t="shared" si="2"/>
        <v>0</v>
      </c>
      <c r="CM38" s="40"/>
      <c r="CN38" s="85">
        <v>48563</v>
      </c>
      <c r="CS38" s="40">
        <f t="shared" si="3"/>
        <v>0</v>
      </c>
      <c r="CT38" s="85"/>
      <c r="CU38" s="85">
        <v>48563</v>
      </c>
      <c r="DA38" s="85">
        <v>48563</v>
      </c>
      <c r="DE38" s="40">
        <v>0</v>
      </c>
      <c r="DG38" s="85">
        <v>48563</v>
      </c>
      <c r="DK38" s="40">
        <v>0</v>
      </c>
      <c r="DM38" s="85">
        <v>48563</v>
      </c>
      <c r="DR38" s="40">
        <f t="shared" si="4"/>
        <v>0</v>
      </c>
      <c r="DT38" s="85">
        <v>48563</v>
      </c>
      <c r="DY38" s="40">
        <f t="shared" si="5"/>
        <v>0</v>
      </c>
      <c r="EA38" s="85">
        <v>48563</v>
      </c>
      <c r="EF38" s="40">
        <f t="shared" si="6"/>
        <v>0</v>
      </c>
      <c r="EH38" s="85">
        <v>48563</v>
      </c>
      <c r="EM38" s="40">
        <f t="shared" si="7"/>
        <v>0</v>
      </c>
    </row>
    <row r="39" spans="2:143" x14ac:dyDescent="0.4">
      <c r="B39" s="85">
        <v>48760</v>
      </c>
      <c r="C39" s="85"/>
      <c r="D39" s="85">
        <v>48745</v>
      </c>
      <c r="E39" s="40">
        <f t="shared" si="8"/>
        <v>759108.4</v>
      </c>
      <c r="F39" s="40">
        <f t="shared" si="9"/>
        <v>22949850</v>
      </c>
      <c r="G39" s="40">
        <f t="shared" si="10"/>
        <v>300891.59999999998</v>
      </c>
      <c r="H39" s="39">
        <v>0</v>
      </c>
      <c r="I39" s="40">
        <f t="shared" si="11"/>
        <v>24009850</v>
      </c>
      <c r="J39" s="40">
        <f>SUM(I38:I39)</f>
        <v>47589525</v>
      </c>
      <c r="L39" s="85">
        <v>48745</v>
      </c>
      <c r="M39" s="40">
        <v>759108.4</v>
      </c>
      <c r="N39" s="101">
        <v>6.5000000000000002E-2</v>
      </c>
      <c r="O39" s="40">
        <f t="shared" si="16"/>
        <v>503425</v>
      </c>
      <c r="P39" s="40">
        <f>1060000-M39</f>
        <v>300891.59999999998</v>
      </c>
      <c r="Q39" s="40">
        <f t="shared" si="12"/>
        <v>1563425</v>
      </c>
      <c r="S39" s="85">
        <v>48745</v>
      </c>
      <c r="T39" s="40"/>
      <c r="U39" s="40"/>
      <c r="V39" s="40"/>
      <c r="W39" s="40"/>
      <c r="X39" s="40">
        <v>0</v>
      </c>
      <c r="Z39" s="85">
        <v>48745</v>
      </c>
      <c r="AA39" s="40"/>
      <c r="AB39" s="40"/>
      <c r="AC39" s="40"/>
      <c r="AD39" s="40"/>
      <c r="AE39" s="40">
        <v>0</v>
      </c>
      <c r="AG39" s="85">
        <v>48745</v>
      </c>
      <c r="AH39" s="40"/>
      <c r="AI39" s="40"/>
      <c r="AJ39" s="40"/>
      <c r="AK39" s="40"/>
      <c r="AL39" s="40">
        <v>0</v>
      </c>
      <c r="AN39" s="85">
        <v>48745</v>
      </c>
      <c r="AO39" s="40"/>
      <c r="AP39" s="40"/>
      <c r="AQ39" s="40"/>
      <c r="AR39" s="40">
        <v>0</v>
      </c>
      <c r="AT39" s="85">
        <v>48745</v>
      </c>
      <c r="AU39" s="40"/>
      <c r="AV39" s="87">
        <v>0</v>
      </c>
      <c r="AW39" s="40"/>
      <c r="AX39" s="40">
        <v>0</v>
      </c>
      <c r="AZ39" s="85">
        <v>48745</v>
      </c>
      <c r="BA39" s="40"/>
      <c r="BB39" s="87"/>
      <c r="BC39" s="40"/>
      <c r="BD39" s="40"/>
      <c r="BE39" s="40">
        <f t="shared" si="0"/>
        <v>0</v>
      </c>
      <c r="BF39" s="67"/>
      <c r="BG39" s="85">
        <v>48745</v>
      </c>
      <c r="BI39" s="40"/>
      <c r="BJ39" s="87"/>
      <c r="BL39" s="40">
        <v>0</v>
      </c>
      <c r="BM39" s="67"/>
      <c r="BN39" s="85">
        <v>48745</v>
      </c>
      <c r="BO39" s="40"/>
      <c r="BP39" s="87"/>
      <c r="BQ39" s="40"/>
      <c r="BR39" s="87"/>
      <c r="BS39" s="40"/>
      <c r="BT39" s="87"/>
      <c r="BU39" s="40"/>
      <c r="BV39" s="87"/>
      <c r="BW39" s="40">
        <f t="shared" si="13"/>
        <v>18269725</v>
      </c>
      <c r="BX39" s="40"/>
      <c r="BY39" s="40">
        <f t="shared" si="14"/>
        <v>18269725</v>
      </c>
      <c r="BZ39" s="67"/>
      <c r="CA39" s="85">
        <v>48745</v>
      </c>
      <c r="CB39" s="40"/>
      <c r="CC39" s="87"/>
      <c r="CD39" s="40">
        <f t="shared" si="15"/>
        <v>4176700</v>
      </c>
      <c r="CE39" s="40">
        <f t="shared" si="1"/>
        <v>4176700</v>
      </c>
      <c r="CF39" s="67"/>
      <c r="CG39" s="85">
        <v>48745</v>
      </c>
      <c r="CH39" s="40"/>
      <c r="CI39" s="40"/>
      <c r="CJ39" s="40"/>
      <c r="CK39" s="40"/>
      <c r="CL39" s="40">
        <f t="shared" si="2"/>
        <v>0</v>
      </c>
      <c r="CM39" s="40"/>
      <c r="CN39" s="85">
        <v>48745</v>
      </c>
      <c r="CS39" s="40">
        <f t="shared" si="3"/>
        <v>0</v>
      </c>
      <c r="CT39" s="85"/>
      <c r="CU39" s="85">
        <v>48745</v>
      </c>
      <c r="DA39" s="85">
        <v>48745</v>
      </c>
      <c r="DE39" s="40">
        <v>0</v>
      </c>
      <c r="DG39" s="85">
        <v>48745</v>
      </c>
      <c r="DK39" s="40">
        <v>0</v>
      </c>
      <c r="DM39" s="85">
        <v>48745</v>
      </c>
      <c r="DR39" s="40">
        <f t="shared" si="4"/>
        <v>0</v>
      </c>
      <c r="DT39" s="85">
        <v>48745</v>
      </c>
      <c r="DY39" s="40">
        <f t="shared" si="5"/>
        <v>0</v>
      </c>
      <c r="EA39" s="85">
        <v>48745</v>
      </c>
      <c r="EF39" s="40">
        <f t="shared" si="6"/>
        <v>0</v>
      </c>
      <c r="EH39" s="85">
        <v>48745</v>
      </c>
      <c r="EM39" s="40">
        <f t="shared" si="7"/>
        <v>0</v>
      </c>
    </row>
    <row r="40" spans="2:143" x14ac:dyDescent="0.4">
      <c r="B40" s="85">
        <v>48944</v>
      </c>
      <c r="C40" s="85"/>
      <c r="D40" s="85">
        <v>48928</v>
      </c>
      <c r="E40" s="40">
        <f t="shared" si="8"/>
        <v>418941.9</v>
      </c>
      <c r="F40" s="40">
        <f t="shared" si="9"/>
        <v>22915400</v>
      </c>
      <c r="G40" s="40">
        <f t="shared" si="10"/>
        <v>166058.09999999998</v>
      </c>
      <c r="H40" s="39">
        <v>0</v>
      </c>
      <c r="I40" s="40">
        <f t="shared" si="11"/>
        <v>23500400</v>
      </c>
      <c r="J40" s="40"/>
      <c r="L40" s="85">
        <v>48928</v>
      </c>
      <c r="M40" s="40">
        <v>418941.9</v>
      </c>
      <c r="N40" s="101">
        <v>6.5000000000000002E-2</v>
      </c>
      <c r="O40" s="40">
        <f t="shared" si="16"/>
        <v>468975</v>
      </c>
      <c r="P40" s="40">
        <f>585000-M40</f>
        <v>166058.09999999998</v>
      </c>
      <c r="Q40" s="40">
        <f t="shared" si="12"/>
        <v>1053975</v>
      </c>
      <c r="S40" s="85">
        <v>48928</v>
      </c>
      <c r="T40" s="40"/>
      <c r="U40" s="40"/>
      <c r="V40" s="40"/>
      <c r="W40" s="40"/>
      <c r="X40" s="40">
        <v>0</v>
      </c>
      <c r="Z40" s="85">
        <v>48928</v>
      </c>
      <c r="AA40" s="40"/>
      <c r="AB40" s="40"/>
      <c r="AC40" s="40"/>
      <c r="AD40" s="40"/>
      <c r="AE40" s="40">
        <v>0</v>
      </c>
      <c r="AG40" s="85">
        <v>48928</v>
      </c>
      <c r="AH40" s="40"/>
      <c r="AI40" s="40"/>
      <c r="AJ40" s="40"/>
      <c r="AK40" s="40"/>
      <c r="AL40" s="40">
        <v>0</v>
      </c>
      <c r="AN40" s="85">
        <v>48928</v>
      </c>
      <c r="AO40" s="40"/>
      <c r="AP40" s="40"/>
      <c r="AQ40" s="40"/>
      <c r="AR40" s="40">
        <v>0</v>
      </c>
      <c r="AT40" s="85">
        <v>48928</v>
      </c>
      <c r="AU40" s="40"/>
      <c r="AV40" s="87">
        <v>0</v>
      </c>
      <c r="AW40" s="40"/>
      <c r="AX40" s="40">
        <v>0</v>
      </c>
      <c r="AZ40" s="85">
        <v>48928</v>
      </c>
      <c r="BA40" s="40"/>
      <c r="BB40" s="87"/>
      <c r="BC40" s="40"/>
      <c r="BD40" s="40"/>
      <c r="BE40" s="40">
        <f t="shared" si="0"/>
        <v>0</v>
      </c>
      <c r="BF40" s="67"/>
      <c r="BG40" s="85">
        <v>48928</v>
      </c>
      <c r="BI40" s="40"/>
      <c r="BJ40" s="87"/>
      <c r="BL40" s="40">
        <v>0</v>
      </c>
      <c r="BM40" s="67"/>
      <c r="BN40" s="85">
        <v>48928</v>
      </c>
      <c r="BO40" s="40"/>
      <c r="BP40" s="87"/>
      <c r="BQ40" s="40"/>
      <c r="BR40" s="87"/>
      <c r="BS40" s="40"/>
      <c r="BT40" s="87"/>
      <c r="BU40" s="40"/>
      <c r="BV40" s="87"/>
      <c r="BW40" s="40">
        <f t="shared" si="13"/>
        <v>18269725</v>
      </c>
      <c r="BX40" s="40"/>
      <c r="BY40" s="40">
        <f t="shared" si="14"/>
        <v>18269725</v>
      </c>
      <c r="BZ40" s="67"/>
      <c r="CA40" s="85">
        <v>48928</v>
      </c>
      <c r="CB40" s="40"/>
      <c r="CC40" s="87"/>
      <c r="CD40" s="40">
        <f t="shared" si="15"/>
        <v>4176700</v>
      </c>
      <c r="CE40" s="40">
        <f t="shared" si="1"/>
        <v>4176700</v>
      </c>
      <c r="CF40" s="67"/>
      <c r="CG40" s="85">
        <v>48928</v>
      </c>
      <c r="CH40" s="40"/>
      <c r="CI40" s="40"/>
      <c r="CJ40" s="40"/>
      <c r="CK40" s="40"/>
      <c r="CL40" s="40">
        <f t="shared" si="2"/>
        <v>0</v>
      </c>
      <c r="CM40" s="40"/>
      <c r="CN40" s="85">
        <v>48928</v>
      </c>
      <c r="CS40" s="40">
        <f t="shared" si="3"/>
        <v>0</v>
      </c>
      <c r="CT40" s="85"/>
      <c r="CU40" s="85">
        <v>48928</v>
      </c>
      <c r="DA40" s="85">
        <v>48928</v>
      </c>
      <c r="DE40" s="40">
        <v>0</v>
      </c>
      <c r="DG40" s="85">
        <v>48928</v>
      </c>
      <c r="DK40" s="40">
        <v>0</v>
      </c>
      <c r="DM40" s="85">
        <v>48928</v>
      </c>
      <c r="DR40" s="40">
        <f t="shared" si="4"/>
        <v>0</v>
      </c>
      <c r="DT40" s="85">
        <v>48928</v>
      </c>
      <c r="DY40" s="40">
        <f t="shared" si="5"/>
        <v>0</v>
      </c>
      <c r="EA40" s="85">
        <v>48928</v>
      </c>
      <c r="EF40" s="40">
        <f t="shared" si="6"/>
        <v>0</v>
      </c>
      <c r="EH40" s="85">
        <v>48928</v>
      </c>
      <c r="EM40" s="40">
        <f t="shared" si="7"/>
        <v>0</v>
      </c>
    </row>
    <row r="41" spans="2:143" x14ac:dyDescent="0.4">
      <c r="B41" s="85">
        <v>49125</v>
      </c>
      <c r="C41" s="85"/>
      <c r="D41" s="85">
        <v>49110</v>
      </c>
      <c r="E41" s="40">
        <f t="shared" si="8"/>
        <v>862948.7</v>
      </c>
      <c r="F41" s="40">
        <f t="shared" si="9"/>
        <v>22896387.5</v>
      </c>
      <c r="G41" s="40">
        <f t="shared" si="10"/>
        <v>342051.30000000005</v>
      </c>
      <c r="H41" s="39">
        <v>0</v>
      </c>
      <c r="I41" s="40">
        <f t="shared" si="11"/>
        <v>24101387.5</v>
      </c>
      <c r="J41" s="40">
        <f>SUM(I40:I41)</f>
        <v>47601787.5</v>
      </c>
      <c r="L41" s="85">
        <v>49110</v>
      </c>
      <c r="M41" s="40">
        <v>862948.7</v>
      </c>
      <c r="N41" s="101">
        <v>6.5000000000000002E-2</v>
      </c>
      <c r="O41" s="40">
        <f t="shared" si="16"/>
        <v>449962.5</v>
      </c>
      <c r="P41" s="40">
        <f>1205000-M41</f>
        <v>342051.30000000005</v>
      </c>
      <c r="Q41" s="40">
        <f t="shared" si="12"/>
        <v>1654962.5</v>
      </c>
      <c r="S41" s="85">
        <v>49110</v>
      </c>
      <c r="T41" s="40"/>
      <c r="U41" s="40"/>
      <c r="V41" s="40"/>
      <c r="W41" s="40"/>
      <c r="X41" s="40">
        <v>0</v>
      </c>
      <c r="Z41" s="85">
        <v>49110</v>
      </c>
      <c r="AA41" s="40"/>
      <c r="AB41" s="40"/>
      <c r="AC41" s="40"/>
      <c r="AD41" s="40"/>
      <c r="AE41" s="40">
        <v>0</v>
      </c>
      <c r="AG41" s="85">
        <v>49110</v>
      </c>
      <c r="AH41" s="40"/>
      <c r="AI41" s="40"/>
      <c r="AJ41" s="40"/>
      <c r="AK41" s="40"/>
      <c r="AL41" s="40">
        <v>0</v>
      </c>
      <c r="AN41" s="85">
        <v>49110</v>
      </c>
      <c r="AO41" s="40"/>
      <c r="AP41" s="40"/>
      <c r="AQ41" s="40"/>
      <c r="AR41" s="40">
        <v>0</v>
      </c>
      <c r="AT41" s="85">
        <v>49110</v>
      </c>
      <c r="AU41" s="40"/>
      <c r="AV41" s="87">
        <v>0</v>
      </c>
      <c r="AW41" s="40"/>
      <c r="AX41" s="40">
        <v>0</v>
      </c>
      <c r="AZ41" s="85">
        <v>49110</v>
      </c>
      <c r="BA41" s="40"/>
      <c r="BB41" s="87"/>
      <c r="BC41" s="40"/>
      <c r="BD41" s="40"/>
      <c r="BE41" s="40">
        <f t="shared" si="0"/>
        <v>0</v>
      </c>
      <c r="BF41" s="67"/>
      <c r="BG41" s="85">
        <v>49110</v>
      </c>
      <c r="BI41" s="40"/>
      <c r="BJ41" s="87"/>
      <c r="BL41" s="40">
        <v>0</v>
      </c>
      <c r="BM41" s="67"/>
      <c r="BN41" s="85">
        <v>49110</v>
      </c>
      <c r="BO41" s="40"/>
      <c r="BP41" s="87"/>
      <c r="BQ41" s="40"/>
      <c r="BR41" s="87"/>
      <c r="BS41" s="40"/>
      <c r="BT41" s="87"/>
      <c r="BU41" s="40"/>
      <c r="BV41" s="87"/>
      <c r="BW41" s="40">
        <f t="shared" si="13"/>
        <v>18269725</v>
      </c>
      <c r="BX41" s="40"/>
      <c r="BY41" s="40">
        <f t="shared" si="14"/>
        <v>18269725</v>
      </c>
      <c r="BZ41" s="67"/>
      <c r="CA41" s="85">
        <v>49110</v>
      </c>
      <c r="CB41" s="40"/>
      <c r="CC41" s="87"/>
      <c r="CD41" s="40">
        <f t="shared" si="15"/>
        <v>4176700</v>
      </c>
      <c r="CE41" s="40">
        <f t="shared" si="1"/>
        <v>4176700</v>
      </c>
      <c r="CF41" s="67"/>
      <c r="CG41" s="85">
        <v>49110</v>
      </c>
      <c r="CH41" s="40"/>
      <c r="CI41" s="40"/>
      <c r="CJ41" s="40"/>
      <c r="CK41" s="40"/>
      <c r="CL41" s="40">
        <f t="shared" si="2"/>
        <v>0</v>
      </c>
      <c r="CM41" s="40"/>
      <c r="CN41" s="85">
        <v>49110</v>
      </c>
      <c r="CS41" s="40">
        <f t="shared" si="3"/>
        <v>0</v>
      </c>
      <c r="CT41" s="85"/>
      <c r="CU41" s="85">
        <v>49110</v>
      </c>
      <c r="DA41" s="85">
        <v>49110</v>
      </c>
      <c r="DE41" s="40">
        <v>0</v>
      </c>
      <c r="DG41" s="85">
        <v>49110</v>
      </c>
      <c r="DK41" s="40">
        <v>0</v>
      </c>
      <c r="DM41" s="85">
        <v>49110</v>
      </c>
      <c r="DR41" s="40">
        <f t="shared" si="4"/>
        <v>0</v>
      </c>
      <c r="DT41" s="85">
        <v>49110</v>
      </c>
      <c r="DY41" s="40">
        <f t="shared" si="5"/>
        <v>0</v>
      </c>
      <c r="EA41" s="85">
        <v>49110</v>
      </c>
      <c r="EF41" s="40">
        <f t="shared" si="6"/>
        <v>0</v>
      </c>
      <c r="EH41" s="85">
        <v>49110</v>
      </c>
      <c r="EM41" s="40">
        <f t="shared" si="7"/>
        <v>0</v>
      </c>
    </row>
    <row r="42" spans="2:143" x14ac:dyDescent="0.4">
      <c r="B42" s="85">
        <v>49309</v>
      </c>
      <c r="C42" s="85"/>
      <c r="D42" s="85">
        <v>49293</v>
      </c>
      <c r="E42" s="40">
        <f t="shared" si="8"/>
        <v>386715.6</v>
      </c>
      <c r="F42" s="40">
        <f t="shared" si="9"/>
        <v>22857225</v>
      </c>
      <c r="G42" s="40">
        <f t="shared" si="10"/>
        <v>153284.40000000002</v>
      </c>
      <c r="H42" s="39">
        <v>0</v>
      </c>
      <c r="I42" s="40">
        <f t="shared" si="11"/>
        <v>23397225</v>
      </c>
      <c r="J42" s="40"/>
      <c r="L42" s="85">
        <v>49293</v>
      </c>
      <c r="M42" s="40">
        <v>386715.6</v>
      </c>
      <c r="N42" s="101">
        <v>6.5000000000000002E-2</v>
      </c>
      <c r="O42" s="40">
        <f t="shared" si="16"/>
        <v>410800</v>
      </c>
      <c r="P42" s="40">
        <f>540000-M42</f>
        <v>153284.40000000002</v>
      </c>
      <c r="Q42" s="40">
        <f t="shared" si="12"/>
        <v>950800</v>
      </c>
      <c r="S42" s="85">
        <v>49293</v>
      </c>
      <c r="T42" s="40"/>
      <c r="U42" s="40"/>
      <c r="V42" s="40"/>
      <c r="W42" s="40"/>
      <c r="X42" s="40">
        <v>0</v>
      </c>
      <c r="Z42" s="85">
        <v>49293</v>
      </c>
      <c r="AA42" s="40"/>
      <c r="AB42" s="40"/>
      <c r="AC42" s="40"/>
      <c r="AD42" s="40"/>
      <c r="AE42" s="40">
        <v>0</v>
      </c>
      <c r="AG42" s="85">
        <v>49293</v>
      </c>
      <c r="AH42" s="40"/>
      <c r="AI42" s="40"/>
      <c r="AJ42" s="40"/>
      <c r="AK42" s="40"/>
      <c r="AL42" s="40">
        <v>0</v>
      </c>
      <c r="AN42" s="85">
        <v>49293</v>
      </c>
      <c r="AO42" s="40"/>
      <c r="AP42" s="40"/>
      <c r="AQ42" s="40"/>
      <c r="AR42" s="40">
        <v>0</v>
      </c>
      <c r="AT42" s="85">
        <v>49293</v>
      </c>
      <c r="AU42" s="40"/>
      <c r="AV42" s="87">
        <v>0</v>
      </c>
      <c r="AW42" s="40"/>
      <c r="AX42" s="40">
        <v>0</v>
      </c>
      <c r="AZ42" s="85">
        <v>49293</v>
      </c>
      <c r="BA42" s="40"/>
      <c r="BB42" s="87"/>
      <c r="BC42" s="40"/>
      <c r="BD42" s="40"/>
      <c r="BE42" s="40">
        <f t="shared" si="0"/>
        <v>0</v>
      </c>
      <c r="BF42" s="67"/>
      <c r="BG42" s="85">
        <v>49293</v>
      </c>
      <c r="BI42" s="40"/>
      <c r="BJ42" s="87"/>
      <c r="BL42" s="40">
        <v>0</v>
      </c>
      <c r="BM42" s="67"/>
      <c r="BN42" s="85">
        <v>49293</v>
      </c>
      <c r="BO42" s="40"/>
      <c r="BP42" s="87"/>
      <c r="BQ42" s="40"/>
      <c r="BR42" s="87"/>
      <c r="BS42" s="40"/>
      <c r="BT42" s="87"/>
      <c r="BU42" s="40"/>
      <c r="BV42" s="87"/>
      <c r="BW42" s="40">
        <f t="shared" si="13"/>
        <v>18269725</v>
      </c>
      <c r="BX42" s="40"/>
      <c r="BY42" s="40">
        <f t="shared" si="14"/>
        <v>18269725</v>
      </c>
      <c r="BZ42" s="67"/>
      <c r="CA42" s="85">
        <v>49293</v>
      </c>
      <c r="CB42" s="40"/>
      <c r="CC42" s="87"/>
      <c r="CD42" s="40">
        <f t="shared" si="15"/>
        <v>4176700</v>
      </c>
      <c r="CE42" s="40">
        <f t="shared" si="1"/>
        <v>4176700</v>
      </c>
      <c r="CF42" s="67"/>
      <c r="CG42" s="85">
        <v>49293</v>
      </c>
      <c r="CH42" s="40"/>
      <c r="CI42" s="40"/>
      <c r="CJ42" s="40"/>
      <c r="CK42" s="40"/>
      <c r="CL42" s="40">
        <f t="shared" si="2"/>
        <v>0</v>
      </c>
      <c r="CM42" s="40"/>
      <c r="CN42" s="85">
        <v>49293</v>
      </c>
      <c r="CS42" s="40">
        <f t="shared" si="3"/>
        <v>0</v>
      </c>
      <c r="CT42" s="85"/>
      <c r="CU42" s="85">
        <v>49293</v>
      </c>
      <c r="DA42" s="85">
        <v>49293</v>
      </c>
      <c r="DE42" s="40">
        <v>0</v>
      </c>
      <c r="DG42" s="85">
        <v>49293</v>
      </c>
      <c r="DK42" s="40">
        <v>0</v>
      </c>
      <c r="DM42" s="85">
        <v>49293</v>
      </c>
      <c r="DR42" s="40">
        <f t="shared" si="4"/>
        <v>0</v>
      </c>
      <c r="DT42" s="85">
        <v>49293</v>
      </c>
      <c r="DY42" s="40">
        <f t="shared" si="5"/>
        <v>0</v>
      </c>
      <c r="EA42" s="85">
        <v>49293</v>
      </c>
      <c r="EF42" s="40">
        <f t="shared" si="6"/>
        <v>0</v>
      </c>
      <c r="EH42" s="85">
        <v>49293</v>
      </c>
      <c r="EM42" s="40">
        <f t="shared" si="7"/>
        <v>0</v>
      </c>
    </row>
    <row r="43" spans="2:143" x14ac:dyDescent="0.4">
      <c r="B43" s="85">
        <v>49490</v>
      </c>
      <c r="C43" s="85"/>
      <c r="D43" s="85">
        <v>49475</v>
      </c>
      <c r="E43" s="40">
        <f t="shared" si="8"/>
        <v>970369.7</v>
      </c>
      <c r="F43" s="40">
        <f t="shared" si="9"/>
        <v>22839675</v>
      </c>
      <c r="G43" s="40">
        <f t="shared" si="10"/>
        <v>384630.30000000005</v>
      </c>
      <c r="H43" s="39">
        <v>0</v>
      </c>
      <c r="I43" s="40">
        <f t="shared" si="11"/>
        <v>24194675</v>
      </c>
      <c r="J43" s="40">
        <f>SUM(I42:I43)</f>
        <v>47591900</v>
      </c>
      <c r="L43" s="85">
        <v>49475</v>
      </c>
      <c r="M43" s="40">
        <v>970369.7</v>
      </c>
      <c r="N43" s="101">
        <v>6.5000000000000002E-2</v>
      </c>
      <c r="O43" s="40">
        <f t="shared" si="16"/>
        <v>393250</v>
      </c>
      <c r="P43" s="40">
        <f>1355000-M43</f>
        <v>384630.30000000005</v>
      </c>
      <c r="Q43" s="40">
        <f t="shared" si="12"/>
        <v>1748250</v>
      </c>
      <c r="S43" s="85">
        <v>49475</v>
      </c>
      <c r="T43" s="40"/>
      <c r="U43" s="40"/>
      <c r="V43" s="40"/>
      <c r="W43" s="40"/>
      <c r="X43" s="40">
        <v>0</v>
      </c>
      <c r="Z43" s="85">
        <v>49475</v>
      </c>
      <c r="AA43" s="40"/>
      <c r="AB43" s="40"/>
      <c r="AC43" s="40"/>
      <c r="AD43" s="40"/>
      <c r="AE43" s="40">
        <v>0</v>
      </c>
      <c r="AG43" s="85">
        <v>49475</v>
      </c>
      <c r="AH43" s="40"/>
      <c r="AI43" s="40"/>
      <c r="AJ43" s="40"/>
      <c r="AK43" s="40"/>
      <c r="AL43" s="40">
        <v>0</v>
      </c>
      <c r="AN43" s="85">
        <v>49475</v>
      </c>
      <c r="AO43" s="40"/>
      <c r="AP43" s="40"/>
      <c r="AQ43" s="40"/>
      <c r="AR43" s="40">
        <v>0</v>
      </c>
      <c r="AT43" s="85">
        <v>49475</v>
      </c>
      <c r="AU43" s="40"/>
      <c r="AV43" s="87">
        <v>0</v>
      </c>
      <c r="AW43" s="40"/>
      <c r="AX43" s="40">
        <v>0</v>
      </c>
      <c r="AZ43" s="85">
        <v>49475</v>
      </c>
      <c r="BA43" s="40"/>
      <c r="BB43" s="87"/>
      <c r="BC43" s="40"/>
      <c r="BD43" s="40"/>
      <c r="BE43" s="40">
        <f t="shared" si="0"/>
        <v>0</v>
      </c>
      <c r="BF43" s="67"/>
      <c r="BG43" s="85">
        <v>49475</v>
      </c>
      <c r="BI43" s="40"/>
      <c r="BJ43" s="87"/>
      <c r="BL43" s="40">
        <v>0</v>
      </c>
      <c r="BM43" s="67"/>
      <c r="BN43" s="85">
        <v>49475</v>
      </c>
      <c r="BO43" s="40"/>
      <c r="BP43" s="87"/>
      <c r="BQ43" s="40"/>
      <c r="BR43" s="87"/>
      <c r="BS43" s="40"/>
      <c r="BT43" s="87"/>
      <c r="BU43" s="40"/>
      <c r="BV43" s="87"/>
      <c r="BW43" s="40">
        <f t="shared" si="13"/>
        <v>18269725</v>
      </c>
      <c r="BX43" s="40"/>
      <c r="BY43" s="40">
        <f t="shared" si="14"/>
        <v>18269725</v>
      </c>
      <c r="BZ43" s="67"/>
      <c r="CA43" s="85">
        <v>49475</v>
      </c>
      <c r="CB43" s="40"/>
      <c r="CC43" s="87"/>
      <c r="CD43" s="40">
        <f t="shared" si="15"/>
        <v>4176700</v>
      </c>
      <c r="CE43" s="40">
        <f t="shared" si="1"/>
        <v>4176700</v>
      </c>
      <c r="CF43" s="67"/>
      <c r="CG43" s="85">
        <v>49475</v>
      </c>
      <c r="CH43" s="40"/>
      <c r="CI43" s="40"/>
      <c r="CJ43" s="40"/>
      <c r="CK43" s="40"/>
      <c r="CL43" s="40">
        <f t="shared" si="2"/>
        <v>0</v>
      </c>
      <c r="CM43" s="40"/>
      <c r="CN43" s="85">
        <v>49475</v>
      </c>
      <c r="CS43" s="40">
        <f t="shared" si="3"/>
        <v>0</v>
      </c>
      <c r="CT43" s="85"/>
      <c r="CU43" s="85">
        <v>49475</v>
      </c>
      <c r="DA43" s="85">
        <v>49475</v>
      </c>
      <c r="DE43" s="40">
        <v>0</v>
      </c>
      <c r="DG43" s="85">
        <v>49475</v>
      </c>
      <c r="DK43" s="40">
        <v>0</v>
      </c>
      <c r="DM43" s="85">
        <v>49475</v>
      </c>
      <c r="DR43" s="40">
        <f t="shared" si="4"/>
        <v>0</v>
      </c>
      <c r="DT43" s="85">
        <v>49475</v>
      </c>
      <c r="DY43" s="40">
        <f t="shared" si="5"/>
        <v>0</v>
      </c>
      <c r="EA43" s="85">
        <v>49475</v>
      </c>
      <c r="EF43" s="40">
        <f t="shared" si="6"/>
        <v>0</v>
      </c>
      <c r="EH43" s="85">
        <v>49475</v>
      </c>
      <c r="EM43" s="40">
        <f t="shared" si="7"/>
        <v>0</v>
      </c>
    </row>
    <row r="44" spans="2:143" x14ac:dyDescent="0.4">
      <c r="B44" s="85">
        <v>49674</v>
      </c>
      <c r="C44" s="85"/>
      <c r="D44" s="85">
        <v>49658</v>
      </c>
      <c r="E44" s="40">
        <f t="shared" si="8"/>
        <v>365231.4</v>
      </c>
      <c r="F44" s="40">
        <f t="shared" si="9"/>
        <v>22795637.5</v>
      </c>
      <c r="G44" s="40">
        <f t="shared" si="10"/>
        <v>144768.59999999998</v>
      </c>
      <c r="H44" s="39">
        <v>0</v>
      </c>
      <c r="I44" s="40">
        <f t="shared" si="11"/>
        <v>23305637.5</v>
      </c>
      <c r="J44" s="40"/>
      <c r="L44" s="85">
        <v>49658</v>
      </c>
      <c r="M44" s="40">
        <v>365231.4</v>
      </c>
      <c r="N44" s="101">
        <v>6.5000000000000002E-2</v>
      </c>
      <c r="O44" s="40">
        <f t="shared" si="16"/>
        <v>349212.5</v>
      </c>
      <c r="P44" s="40">
        <f>510000-M44</f>
        <v>144768.59999999998</v>
      </c>
      <c r="Q44" s="40">
        <f t="shared" si="12"/>
        <v>859212.5</v>
      </c>
      <c r="S44" s="85">
        <v>49658</v>
      </c>
      <c r="T44" s="40"/>
      <c r="U44" s="40"/>
      <c r="V44" s="40"/>
      <c r="W44" s="40"/>
      <c r="X44" s="40">
        <v>0</v>
      </c>
      <c r="Z44" s="85">
        <v>49658</v>
      </c>
      <c r="AA44" s="40"/>
      <c r="AB44" s="40"/>
      <c r="AC44" s="40"/>
      <c r="AD44" s="40"/>
      <c r="AE44" s="40">
        <v>0</v>
      </c>
      <c r="AG44" s="85">
        <v>49658</v>
      </c>
      <c r="AH44" s="40"/>
      <c r="AI44" s="40"/>
      <c r="AJ44" s="40"/>
      <c r="AK44" s="40"/>
      <c r="AL44" s="40">
        <v>0</v>
      </c>
      <c r="AN44" s="85">
        <v>49658</v>
      </c>
      <c r="AO44" s="40"/>
      <c r="AP44" s="40"/>
      <c r="AQ44" s="40"/>
      <c r="AR44" s="40">
        <v>0</v>
      </c>
      <c r="AT44" s="85">
        <v>49658</v>
      </c>
      <c r="AU44" s="40"/>
      <c r="AV44" s="87">
        <v>0</v>
      </c>
      <c r="AW44" s="40"/>
      <c r="AX44" s="40">
        <v>0</v>
      </c>
      <c r="AZ44" s="85">
        <v>49658</v>
      </c>
      <c r="BA44" s="40"/>
      <c r="BB44" s="87"/>
      <c r="BC44" s="40"/>
      <c r="BD44" s="40"/>
      <c r="BE44" s="40">
        <f t="shared" si="0"/>
        <v>0</v>
      </c>
      <c r="BF44" s="67"/>
      <c r="BG44" s="85">
        <v>49658</v>
      </c>
      <c r="BI44" s="40"/>
      <c r="BJ44" s="87"/>
      <c r="BL44" s="40">
        <v>0</v>
      </c>
      <c r="BM44" s="67"/>
      <c r="BN44" s="85">
        <v>49658</v>
      </c>
      <c r="BO44" s="40"/>
      <c r="BP44" s="87"/>
      <c r="BQ44" s="40"/>
      <c r="BR44" s="87"/>
      <c r="BS44" s="40"/>
      <c r="BT44" s="87"/>
      <c r="BU44" s="40"/>
      <c r="BV44" s="87"/>
      <c r="BW44" s="40">
        <f t="shared" si="13"/>
        <v>18269725</v>
      </c>
      <c r="BX44" s="40"/>
      <c r="BY44" s="40">
        <f t="shared" si="14"/>
        <v>18269725</v>
      </c>
      <c r="BZ44" s="67"/>
      <c r="CA44" s="85">
        <v>49658</v>
      </c>
      <c r="CB44" s="40"/>
      <c r="CC44" s="87"/>
      <c r="CD44" s="40">
        <f t="shared" si="15"/>
        <v>4176700</v>
      </c>
      <c r="CE44" s="40">
        <f t="shared" si="1"/>
        <v>4176700</v>
      </c>
      <c r="CF44" s="67"/>
      <c r="CG44" s="85">
        <v>49658</v>
      </c>
      <c r="CH44" s="40"/>
      <c r="CI44" s="40"/>
      <c r="CJ44" s="40"/>
      <c r="CK44" s="40"/>
      <c r="CL44" s="40">
        <f t="shared" si="2"/>
        <v>0</v>
      </c>
      <c r="CM44" s="40"/>
      <c r="CN44" s="85">
        <v>49658</v>
      </c>
      <c r="CS44" s="40">
        <f t="shared" si="3"/>
        <v>0</v>
      </c>
      <c r="CT44" s="85"/>
      <c r="CU44" s="85">
        <v>49658</v>
      </c>
      <c r="DA44" s="85">
        <v>49658</v>
      </c>
      <c r="DE44" s="40">
        <v>0</v>
      </c>
      <c r="DG44" s="85">
        <v>49658</v>
      </c>
      <c r="DK44" s="40">
        <v>0</v>
      </c>
      <c r="DM44" s="85">
        <v>49658</v>
      </c>
      <c r="DR44" s="40">
        <f t="shared" si="4"/>
        <v>0</v>
      </c>
      <c r="DT44" s="85">
        <v>49658</v>
      </c>
      <c r="DY44" s="40">
        <f t="shared" si="5"/>
        <v>0</v>
      </c>
      <c r="EA44" s="85">
        <v>49658</v>
      </c>
      <c r="EF44" s="40">
        <f t="shared" si="6"/>
        <v>0</v>
      </c>
      <c r="EH44" s="85">
        <v>49658</v>
      </c>
      <c r="EM44" s="40">
        <f t="shared" si="7"/>
        <v>0</v>
      </c>
    </row>
    <row r="45" spans="2:143" x14ac:dyDescent="0.4">
      <c r="B45" s="85">
        <v>49856</v>
      </c>
      <c r="C45" s="85"/>
      <c r="D45" s="85">
        <v>49841</v>
      </c>
      <c r="E45" s="40">
        <f t="shared" si="8"/>
        <v>1084952.1000000001</v>
      </c>
      <c r="F45" s="40">
        <f t="shared" si="9"/>
        <v>22779062.5</v>
      </c>
      <c r="G45" s="40">
        <f t="shared" si="10"/>
        <v>430047.89999999991</v>
      </c>
      <c r="H45" s="39">
        <v>0</v>
      </c>
      <c r="I45" s="40">
        <f t="shared" si="11"/>
        <v>24294062.5</v>
      </c>
      <c r="J45" s="40">
        <f>SUM(I44:I45)</f>
        <v>47599700</v>
      </c>
      <c r="L45" s="85">
        <v>49841</v>
      </c>
      <c r="M45" s="40">
        <v>1084952.1000000001</v>
      </c>
      <c r="N45" s="101">
        <v>6.5000000000000002E-2</v>
      </c>
      <c r="O45" s="40">
        <f t="shared" si="16"/>
        <v>332637.5</v>
      </c>
      <c r="P45" s="40">
        <f>1515000-M45</f>
        <v>430047.89999999991</v>
      </c>
      <c r="Q45" s="40">
        <f t="shared" si="12"/>
        <v>1847637.5</v>
      </c>
      <c r="S45" s="85">
        <v>49841</v>
      </c>
      <c r="T45" s="40"/>
      <c r="U45" s="40"/>
      <c r="V45" s="40"/>
      <c r="W45" s="40"/>
      <c r="X45" s="40">
        <v>0</v>
      </c>
      <c r="Z45" s="85">
        <v>49841</v>
      </c>
      <c r="AA45" s="40"/>
      <c r="AB45" s="40"/>
      <c r="AC45" s="40"/>
      <c r="AD45" s="40"/>
      <c r="AE45" s="40">
        <v>0</v>
      </c>
      <c r="AG45" s="85">
        <v>49841</v>
      </c>
      <c r="AH45" s="40"/>
      <c r="AI45" s="40"/>
      <c r="AJ45" s="40"/>
      <c r="AK45" s="40"/>
      <c r="AL45" s="40">
        <v>0</v>
      </c>
      <c r="AN45" s="85">
        <v>49841</v>
      </c>
      <c r="AO45" s="40"/>
      <c r="AP45" s="40"/>
      <c r="AQ45" s="40"/>
      <c r="AR45" s="40">
        <v>0</v>
      </c>
      <c r="AT45" s="85">
        <v>49841</v>
      </c>
      <c r="AU45" s="40"/>
      <c r="AV45" s="87">
        <v>0</v>
      </c>
      <c r="AW45" s="40"/>
      <c r="AX45" s="40">
        <v>0</v>
      </c>
      <c r="AZ45" s="85">
        <v>49841</v>
      </c>
      <c r="BA45" s="40"/>
      <c r="BB45" s="87"/>
      <c r="BC45" s="40"/>
      <c r="BD45" s="40"/>
      <c r="BE45" s="40">
        <f t="shared" si="0"/>
        <v>0</v>
      </c>
      <c r="BF45" s="67"/>
      <c r="BG45" s="85">
        <v>49841</v>
      </c>
      <c r="BI45" s="40"/>
      <c r="BJ45" s="87"/>
      <c r="BL45" s="40">
        <v>0</v>
      </c>
      <c r="BM45" s="67"/>
      <c r="BN45" s="85">
        <v>49841</v>
      </c>
      <c r="BO45" s="40"/>
      <c r="BP45" s="87"/>
      <c r="BQ45" s="40"/>
      <c r="BR45" s="87"/>
      <c r="BS45" s="40"/>
      <c r="BT45" s="87"/>
      <c r="BU45" s="40"/>
      <c r="BV45" s="87"/>
      <c r="BW45" s="40">
        <f t="shared" si="13"/>
        <v>18269725</v>
      </c>
      <c r="BX45" s="40"/>
      <c r="BY45" s="40">
        <f t="shared" si="14"/>
        <v>18269725</v>
      </c>
      <c r="BZ45" s="67"/>
      <c r="CA45" s="85">
        <v>49841</v>
      </c>
      <c r="CB45" s="40"/>
      <c r="CC45" s="87"/>
      <c r="CD45" s="40">
        <f t="shared" si="15"/>
        <v>4176700</v>
      </c>
      <c r="CE45" s="40">
        <f t="shared" si="1"/>
        <v>4176700</v>
      </c>
      <c r="CF45" s="67"/>
      <c r="CG45" s="85">
        <v>49841</v>
      </c>
      <c r="CH45" s="40"/>
      <c r="CI45" s="40"/>
      <c r="CJ45" s="40"/>
      <c r="CK45" s="40"/>
      <c r="CL45" s="40">
        <f t="shared" si="2"/>
        <v>0</v>
      </c>
      <c r="CM45" s="40"/>
      <c r="CN45" s="85">
        <v>49841</v>
      </c>
      <c r="CS45" s="40">
        <f t="shared" si="3"/>
        <v>0</v>
      </c>
      <c r="CT45" s="85"/>
      <c r="CU45" s="85">
        <v>49841</v>
      </c>
      <c r="DA45" s="85">
        <v>49841</v>
      </c>
      <c r="DE45" s="40">
        <v>0</v>
      </c>
      <c r="DG45" s="85">
        <v>49841</v>
      </c>
      <c r="DK45" s="40">
        <v>0</v>
      </c>
      <c r="DM45" s="85">
        <v>49841</v>
      </c>
      <c r="DR45" s="40">
        <f t="shared" si="4"/>
        <v>0</v>
      </c>
      <c r="DT45" s="85">
        <v>49841</v>
      </c>
      <c r="DY45" s="40">
        <f t="shared" si="5"/>
        <v>0</v>
      </c>
      <c r="EA45" s="85">
        <v>49841</v>
      </c>
      <c r="EF45" s="40">
        <f t="shared" si="6"/>
        <v>0</v>
      </c>
      <c r="EH45" s="85">
        <v>49841</v>
      </c>
      <c r="EM45" s="40">
        <f t="shared" si="7"/>
        <v>0</v>
      </c>
    </row>
    <row r="46" spans="2:143" x14ac:dyDescent="0.4">
      <c r="B46" s="85">
        <v>50040</v>
      </c>
      <c r="C46" s="85"/>
      <c r="D46" s="85">
        <v>50024</v>
      </c>
      <c r="E46" s="40">
        <f t="shared" si="8"/>
        <v>630203.19999999995</v>
      </c>
      <c r="F46" s="40">
        <f t="shared" si="9"/>
        <v>22729825</v>
      </c>
      <c r="G46" s="40">
        <f t="shared" si="10"/>
        <v>249796.80000000005</v>
      </c>
      <c r="H46" s="39">
        <v>0</v>
      </c>
      <c r="I46" s="40">
        <f t="shared" si="11"/>
        <v>23609825</v>
      </c>
      <c r="J46" s="40"/>
      <c r="L46" s="85">
        <v>50024</v>
      </c>
      <c r="M46" s="40">
        <v>630203.19999999995</v>
      </c>
      <c r="N46" s="101">
        <v>6.5000000000000002E-2</v>
      </c>
      <c r="O46" s="40">
        <f t="shared" si="16"/>
        <v>283400</v>
      </c>
      <c r="P46" s="40">
        <f>880000-M46</f>
        <v>249796.80000000005</v>
      </c>
      <c r="Q46" s="40">
        <f t="shared" si="12"/>
        <v>1163400</v>
      </c>
      <c r="S46" s="85">
        <v>50024</v>
      </c>
      <c r="T46" s="40"/>
      <c r="U46" s="40"/>
      <c r="V46" s="40"/>
      <c r="W46" s="40"/>
      <c r="X46" s="40">
        <v>0</v>
      </c>
      <c r="Z46" s="85">
        <v>50024</v>
      </c>
      <c r="AA46" s="40"/>
      <c r="AB46" s="40"/>
      <c r="AC46" s="40"/>
      <c r="AD46" s="40"/>
      <c r="AE46" s="40">
        <v>0</v>
      </c>
      <c r="AG46" s="85">
        <v>50024</v>
      </c>
      <c r="AH46" s="40"/>
      <c r="AI46" s="40"/>
      <c r="AJ46" s="40"/>
      <c r="AK46" s="40"/>
      <c r="AL46" s="40">
        <v>0</v>
      </c>
      <c r="AN46" s="85">
        <v>50024</v>
      </c>
      <c r="AO46" s="40"/>
      <c r="AP46" s="40"/>
      <c r="AQ46" s="40"/>
      <c r="AR46" s="40">
        <v>0</v>
      </c>
      <c r="AT46" s="85">
        <v>50024</v>
      </c>
      <c r="AU46" s="40"/>
      <c r="AV46" s="87">
        <v>0</v>
      </c>
      <c r="AW46" s="40"/>
      <c r="AX46" s="40">
        <v>0</v>
      </c>
      <c r="AZ46" s="85">
        <v>50024</v>
      </c>
      <c r="BA46" s="40"/>
      <c r="BB46" s="87"/>
      <c r="BC46" s="40"/>
      <c r="BD46" s="40"/>
      <c r="BE46" s="40">
        <f t="shared" si="0"/>
        <v>0</v>
      </c>
      <c r="BF46" s="67"/>
      <c r="BG46" s="85">
        <v>50024</v>
      </c>
      <c r="BI46" s="40"/>
      <c r="BJ46" s="87"/>
      <c r="BL46" s="40">
        <v>0</v>
      </c>
      <c r="BM46" s="67"/>
      <c r="BN46" s="85">
        <v>50024</v>
      </c>
      <c r="BO46" s="40"/>
      <c r="BP46" s="87"/>
      <c r="BQ46" s="40"/>
      <c r="BR46" s="87"/>
      <c r="BS46" s="40"/>
      <c r="BT46" s="87"/>
      <c r="BU46" s="40"/>
      <c r="BV46" s="87"/>
      <c r="BW46" s="40">
        <f t="shared" si="13"/>
        <v>18269725</v>
      </c>
      <c r="BX46" s="40"/>
      <c r="BY46" s="40">
        <f t="shared" si="14"/>
        <v>18269725</v>
      </c>
      <c r="BZ46" s="67"/>
      <c r="CA46" s="85">
        <v>50024</v>
      </c>
      <c r="CB46" s="40"/>
      <c r="CC46" s="87"/>
      <c r="CD46" s="40">
        <f t="shared" si="15"/>
        <v>4176700</v>
      </c>
      <c r="CE46" s="40">
        <f t="shared" si="1"/>
        <v>4176700</v>
      </c>
      <c r="CF46" s="67"/>
      <c r="CG46" s="85">
        <v>50024</v>
      </c>
      <c r="CH46" s="40"/>
      <c r="CI46" s="40"/>
      <c r="CJ46" s="40"/>
      <c r="CK46" s="40"/>
      <c r="CL46" s="40">
        <f t="shared" si="2"/>
        <v>0</v>
      </c>
      <c r="CM46" s="40"/>
      <c r="CN46" s="85">
        <v>50024</v>
      </c>
      <c r="CS46" s="40">
        <f t="shared" si="3"/>
        <v>0</v>
      </c>
      <c r="CT46" s="85"/>
      <c r="CU46" s="85">
        <v>50024</v>
      </c>
      <c r="DA46" s="85">
        <v>50024</v>
      </c>
      <c r="DE46" s="40">
        <v>0</v>
      </c>
      <c r="DG46" s="85">
        <v>50024</v>
      </c>
      <c r="DK46" s="40">
        <v>0</v>
      </c>
      <c r="DM46" s="85">
        <v>50024</v>
      </c>
      <c r="DR46" s="40">
        <f t="shared" si="4"/>
        <v>0</v>
      </c>
      <c r="DT46" s="85">
        <v>50024</v>
      </c>
      <c r="DY46" s="40">
        <f t="shared" si="5"/>
        <v>0</v>
      </c>
      <c r="EA46" s="85">
        <v>50024</v>
      </c>
      <c r="EF46" s="40">
        <f t="shared" si="6"/>
        <v>0</v>
      </c>
      <c r="EH46" s="85">
        <v>50024</v>
      </c>
      <c r="EM46" s="40">
        <f t="shared" si="7"/>
        <v>0</v>
      </c>
    </row>
    <row r="47" spans="2:143" x14ac:dyDescent="0.4">
      <c r="B47" s="85">
        <v>50221</v>
      </c>
      <c r="C47" s="85"/>
      <c r="D47" s="85">
        <v>50206</v>
      </c>
      <c r="E47" s="40">
        <f t="shared" si="8"/>
        <v>920239.9</v>
      </c>
      <c r="F47" s="40">
        <f t="shared" si="9"/>
        <v>22701225</v>
      </c>
      <c r="G47" s="40">
        <f t="shared" si="10"/>
        <v>364760.1</v>
      </c>
      <c r="H47" s="39">
        <v>0</v>
      </c>
      <c r="I47" s="40">
        <f t="shared" si="11"/>
        <v>23986225</v>
      </c>
      <c r="J47" s="40">
        <f>SUM(I46:I47)</f>
        <v>47596050</v>
      </c>
      <c r="L47" s="85">
        <v>50206</v>
      </c>
      <c r="M47" s="40">
        <v>920239.9</v>
      </c>
      <c r="N47" s="101">
        <v>6.5000000000000002E-2</v>
      </c>
      <c r="O47" s="40">
        <f t="shared" si="16"/>
        <v>254800</v>
      </c>
      <c r="P47" s="40">
        <f>1285000-M47</f>
        <v>364760.1</v>
      </c>
      <c r="Q47" s="40">
        <f t="shared" si="12"/>
        <v>1539800</v>
      </c>
      <c r="S47" s="85">
        <v>50206</v>
      </c>
      <c r="T47" s="40"/>
      <c r="U47" s="40"/>
      <c r="V47" s="40"/>
      <c r="W47" s="40"/>
      <c r="X47" s="40">
        <v>0</v>
      </c>
      <c r="Z47" s="85">
        <v>50206</v>
      </c>
      <c r="AA47" s="40"/>
      <c r="AB47" s="40"/>
      <c r="AC47" s="40"/>
      <c r="AD47" s="40"/>
      <c r="AE47" s="40">
        <v>0</v>
      </c>
      <c r="AG47" s="85">
        <v>50206</v>
      </c>
      <c r="AH47" s="40"/>
      <c r="AI47" s="40"/>
      <c r="AJ47" s="40"/>
      <c r="AK47" s="40"/>
      <c r="AL47" s="40">
        <v>0</v>
      </c>
      <c r="AN47" s="85">
        <v>50206</v>
      </c>
      <c r="AO47" s="40"/>
      <c r="AP47" s="40"/>
      <c r="AQ47" s="40"/>
      <c r="AR47" s="40">
        <v>0</v>
      </c>
      <c r="AT47" s="85">
        <v>50206</v>
      </c>
      <c r="AU47" s="40"/>
      <c r="AV47" s="87">
        <v>0</v>
      </c>
      <c r="AW47" s="40"/>
      <c r="AX47" s="40">
        <v>0</v>
      </c>
      <c r="AZ47" s="85">
        <v>50206</v>
      </c>
      <c r="BA47" s="40"/>
      <c r="BB47" s="87"/>
      <c r="BC47" s="40"/>
      <c r="BD47" s="40"/>
      <c r="BE47" s="40">
        <f t="shared" si="0"/>
        <v>0</v>
      </c>
      <c r="BF47" s="67"/>
      <c r="BG47" s="85">
        <v>50206</v>
      </c>
      <c r="BI47" s="40"/>
      <c r="BJ47" s="87"/>
      <c r="BL47" s="40">
        <v>0</v>
      </c>
      <c r="BM47" s="67"/>
      <c r="BN47" s="85">
        <v>50206</v>
      </c>
      <c r="BO47" s="40"/>
      <c r="BP47" s="87"/>
      <c r="BQ47" s="40"/>
      <c r="BR47" s="87"/>
      <c r="BS47" s="40"/>
      <c r="BT47" s="87"/>
      <c r="BU47" s="40"/>
      <c r="BV47" s="87"/>
      <c r="BW47" s="40">
        <f t="shared" si="13"/>
        <v>18269725</v>
      </c>
      <c r="BX47" s="40"/>
      <c r="BY47" s="40">
        <f t="shared" si="14"/>
        <v>18269725</v>
      </c>
      <c r="BZ47" s="67"/>
      <c r="CA47" s="85">
        <v>50206</v>
      </c>
      <c r="CB47" s="40"/>
      <c r="CC47" s="87"/>
      <c r="CD47" s="40">
        <f t="shared" si="15"/>
        <v>4176700</v>
      </c>
      <c r="CE47" s="40">
        <f t="shared" si="1"/>
        <v>4176700</v>
      </c>
      <c r="CF47" s="67"/>
      <c r="CG47" s="85">
        <v>50206</v>
      </c>
      <c r="CH47" s="40"/>
      <c r="CI47" s="40"/>
      <c r="CJ47" s="40"/>
      <c r="CK47" s="40"/>
      <c r="CL47" s="40">
        <f t="shared" si="2"/>
        <v>0</v>
      </c>
      <c r="CM47" s="40"/>
      <c r="CN47" s="85">
        <v>50206</v>
      </c>
      <c r="CS47" s="40">
        <f t="shared" si="3"/>
        <v>0</v>
      </c>
      <c r="CT47" s="85"/>
      <c r="CU47" s="85">
        <v>50206</v>
      </c>
      <c r="DA47" s="85">
        <v>50206</v>
      </c>
      <c r="DE47" s="40">
        <v>0</v>
      </c>
      <c r="DG47" s="85">
        <v>50206</v>
      </c>
      <c r="DK47" s="40">
        <v>0</v>
      </c>
      <c r="DM47" s="85">
        <v>50206</v>
      </c>
      <c r="DR47" s="40">
        <f t="shared" si="4"/>
        <v>0</v>
      </c>
      <c r="DT47" s="85">
        <v>50206</v>
      </c>
      <c r="DY47" s="40">
        <f t="shared" si="5"/>
        <v>0</v>
      </c>
      <c r="EA47" s="85">
        <v>50206</v>
      </c>
      <c r="EF47" s="40">
        <f t="shared" si="6"/>
        <v>0</v>
      </c>
      <c r="EH47" s="85">
        <v>50206</v>
      </c>
      <c r="EM47" s="40">
        <f t="shared" si="7"/>
        <v>0</v>
      </c>
    </row>
    <row r="48" spans="2:143" x14ac:dyDescent="0.4">
      <c r="B48" s="85">
        <v>50405</v>
      </c>
      <c r="C48" s="85"/>
      <c r="D48" s="85">
        <v>50389</v>
      </c>
      <c r="E48" s="40">
        <f t="shared" si="8"/>
        <v>837883.8</v>
      </c>
      <c r="F48" s="40">
        <f t="shared" si="9"/>
        <v>22659462.5</v>
      </c>
      <c r="G48" s="40">
        <f t="shared" si="10"/>
        <v>332116.19999999995</v>
      </c>
      <c r="H48" s="39">
        <v>0</v>
      </c>
      <c r="I48" s="40">
        <f t="shared" si="11"/>
        <v>23829462.5</v>
      </c>
      <c r="J48" s="40"/>
      <c r="L48" s="85">
        <v>50389</v>
      </c>
      <c r="M48" s="40">
        <v>837883.8</v>
      </c>
      <c r="N48" s="101">
        <v>6.5000000000000002E-2</v>
      </c>
      <c r="O48" s="40">
        <f t="shared" si="16"/>
        <v>213037.5</v>
      </c>
      <c r="P48" s="40">
        <f>1170000-M48</f>
        <v>332116.19999999995</v>
      </c>
      <c r="Q48" s="40">
        <f t="shared" si="12"/>
        <v>1383037.5</v>
      </c>
      <c r="S48" s="85">
        <v>50389</v>
      </c>
      <c r="T48" s="40"/>
      <c r="U48" s="40"/>
      <c r="V48" s="40"/>
      <c r="W48" s="40"/>
      <c r="X48" s="40">
        <v>0</v>
      </c>
      <c r="Z48" s="85">
        <v>50389</v>
      </c>
      <c r="AA48" s="40"/>
      <c r="AB48" s="40"/>
      <c r="AC48" s="40"/>
      <c r="AD48" s="40"/>
      <c r="AE48" s="40">
        <v>0</v>
      </c>
      <c r="AG48" s="85">
        <v>50389</v>
      </c>
      <c r="AH48" s="40"/>
      <c r="AI48" s="40"/>
      <c r="AJ48" s="40"/>
      <c r="AK48" s="40"/>
      <c r="AL48" s="40">
        <v>0</v>
      </c>
      <c r="AN48" s="85">
        <v>50389</v>
      </c>
      <c r="AO48" s="40"/>
      <c r="AP48" s="40"/>
      <c r="AQ48" s="40"/>
      <c r="AR48" s="40">
        <v>0</v>
      </c>
      <c r="AT48" s="85">
        <v>50389</v>
      </c>
      <c r="AU48" s="40"/>
      <c r="AV48" s="87">
        <v>0</v>
      </c>
      <c r="AW48" s="40"/>
      <c r="AX48" s="40">
        <v>0</v>
      </c>
      <c r="AZ48" s="85">
        <v>50389</v>
      </c>
      <c r="BA48" s="40"/>
      <c r="BB48" s="87"/>
      <c r="BC48" s="40"/>
      <c r="BD48" s="40"/>
      <c r="BE48" s="40">
        <f t="shared" si="0"/>
        <v>0</v>
      </c>
      <c r="BF48" s="67"/>
      <c r="BG48" s="85">
        <v>50389</v>
      </c>
      <c r="BI48" s="40"/>
      <c r="BJ48" s="87"/>
      <c r="BL48" s="40">
        <v>0</v>
      </c>
      <c r="BM48" s="67"/>
      <c r="BN48" s="85">
        <v>50389</v>
      </c>
      <c r="BO48" s="40"/>
      <c r="BP48" s="87"/>
      <c r="BQ48" s="40"/>
      <c r="BR48" s="87"/>
      <c r="BS48" s="40"/>
      <c r="BT48" s="87"/>
      <c r="BU48" s="40"/>
      <c r="BV48" s="87"/>
      <c r="BW48" s="40">
        <f t="shared" si="13"/>
        <v>18269725</v>
      </c>
      <c r="BX48" s="40"/>
      <c r="BY48" s="40">
        <f t="shared" si="14"/>
        <v>18269725</v>
      </c>
      <c r="BZ48" s="67"/>
      <c r="CA48" s="85">
        <v>50389</v>
      </c>
      <c r="CB48" s="40"/>
      <c r="CC48" s="87"/>
      <c r="CD48" s="40">
        <f t="shared" si="15"/>
        <v>4176700</v>
      </c>
      <c r="CE48" s="40">
        <f t="shared" si="1"/>
        <v>4176700</v>
      </c>
      <c r="CF48" s="67"/>
      <c r="CG48" s="85">
        <v>50389</v>
      </c>
      <c r="CH48" s="40"/>
      <c r="CI48" s="40"/>
      <c r="CJ48" s="40"/>
      <c r="CK48" s="40"/>
      <c r="CL48" s="40">
        <f t="shared" si="2"/>
        <v>0</v>
      </c>
      <c r="CM48" s="40"/>
      <c r="CN48" s="85">
        <v>50389</v>
      </c>
      <c r="CS48" s="40">
        <f t="shared" si="3"/>
        <v>0</v>
      </c>
      <c r="CT48" s="85"/>
      <c r="CU48" s="85">
        <v>50389</v>
      </c>
      <c r="DA48" s="85">
        <v>50389</v>
      </c>
      <c r="DE48" s="40">
        <v>0</v>
      </c>
      <c r="DG48" s="85">
        <v>50389</v>
      </c>
      <c r="DK48" s="40">
        <v>0</v>
      </c>
      <c r="DM48" s="85">
        <v>50389</v>
      </c>
      <c r="DR48" s="40">
        <f t="shared" si="4"/>
        <v>0</v>
      </c>
      <c r="DT48" s="85">
        <v>50389</v>
      </c>
      <c r="DY48" s="40">
        <f t="shared" si="5"/>
        <v>0</v>
      </c>
      <c r="EA48" s="85">
        <v>50389</v>
      </c>
      <c r="EF48" s="40">
        <f t="shared" si="6"/>
        <v>0</v>
      </c>
      <c r="EH48" s="85">
        <v>50389</v>
      </c>
      <c r="EM48" s="40">
        <f t="shared" si="7"/>
        <v>0</v>
      </c>
    </row>
    <row r="49" spans="2:143" x14ac:dyDescent="0.4">
      <c r="B49" s="85">
        <v>50586</v>
      </c>
      <c r="C49" s="85"/>
      <c r="D49" s="85">
        <v>50571</v>
      </c>
      <c r="E49" s="40">
        <f t="shared" si="8"/>
        <v>823561</v>
      </c>
      <c r="F49" s="40">
        <f t="shared" si="9"/>
        <v>22621437.5</v>
      </c>
      <c r="G49" s="40">
        <f t="shared" si="10"/>
        <v>326439</v>
      </c>
      <c r="H49" s="39">
        <v>0</v>
      </c>
      <c r="I49" s="40">
        <f t="shared" si="11"/>
        <v>23771437.5</v>
      </c>
      <c r="J49" s="40">
        <f>SUM(I48:I49)</f>
        <v>47600900</v>
      </c>
      <c r="L49" s="85">
        <v>50571</v>
      </c>
      <c r="M49" s="40">
        <v>823561</v>
      </c>
      <c r="N49" s="101">
        <v>6.5000000000000002E-2</v>
      </c>
      <c r="O49" s="40">
        <f t="shared" si="16"/>
        <v>175012.5</v>
      </c>
      <c r="P49" s="40">
        <f>1150000-M49</f>
        <v>326439</v>
      </c>
      <c r="Q49" s="40">
        <f t="shared" si="12"/>
        <v>1325012.5</v>
      </c>
      <c r="S49" s="85">
        <v>50571</v>
      </c>
      <c r="T49" s="40"/>
      <c r="U49" s="40"/>
      <c r="V49" s="40"/>
      <c r="W49" s="40"/>
      <c r="X49" s="40">
        <v>0</v>
      </c>
      <c r="Z49" s="85">
        <v>50571</v>
      </c>
      <c r="AA49" s="40"/>
      <c r="AB49" s="40"/>
      <c r="AC49" s="40"/>
      <c r="AD49" s="40"/>
      <c r="AE49" s="40">
        <v>0</v>
      </c>
      <c r="AG49" s="85">
        <v>50571</v>
      </c>
      <c r="AH49" s="40"/>
      <c r="AI49" s="40"/>
      <c r="AJ49" s="40"/>
      <c r="AK49" s="40"/>
      <c r="AL49" s="40">
        <v>0</v>
      </c>
      <c r="AN49" s="85">
        <v>50571</v>
      </c>
      <c r="AO49" s="40"/>
      <c r="AP49" s="40"/>
      <c r="AQ49" s="40"/>
      <c r="AR49" s="40">
        <v>0</v>
      </c>
      <c r="AT49" s="85">
        <v>50571</v>
      </c>
      <c r="AU49" s="40"/>
      <c r="AV49" s="87">
        <v>0</v>
      </c>
      <c r="AW49" s="40"/>
      <c r="AX49" s="40">
        <v>0</v>
      </c>
      <c r="AZ49" s="85">
        <v>50571</v>
      </c>
      <c r="BA49" s="40"/>
      <c r="BB49" s="87"/>
      <c r="BC49" s="40"/>
      <c r="BD49" s="40"/>
      <c r="BE49" s="40">
        <f t="shared" si="0"/>
        <v>0</v>
      </c>
      <c r="BF49" s="67"/>
      <c r="BG49" s="85">
        <v>50571</v>
      </c>
      <c r="BI49" s="40"/>
      <c r="BJ49" s="87"/>
      <c r="BL49" s="40">
        <v>0</v>
      </c>
      <c r="BM49" s="67"/>
      <c r="BN49" s="85">
        <v>50571</v>
      </c>
      <c r="BO49" s="40"/>
      <c r="BP49" s="87"/>
      <c r="BQ49" s="40"/>
      <c r="BR49" s="87"/>
      <c r="BS49" s="40"/>
      <c r="BT49" s="87"/>
      <c r="BU49" s="40"/>
      <c r="BV49" s="87"/>
      <c r="BW49" s="40">
        <f t="shared" si="13"/>
        <v>18269725</v>
      </c>
      <c r="BX49" s="40"/>
      <c r="BY49" s="40">
        <f t="shared" si="14"/>
        <v>18269725</v>
      </c>
      <c r="BZ49" s="67"/>
      <c r="CA49" s="85">
        <v>50571</v>
      </c>
      <c r="CB49" s="40"/>
      <c r="CC49" s="87"/>
      <c r="CD49" s="40">
        <f t="shared" si="15"/>
        <v>4176700</v>
      </c>
      <c r="CE49" s="40">
        <f t="shared" si="1"/>
        <v>4176700</v>
      </c>
      <c r="CF49" s="67"/>
      <c r="CG49" s="85">
        <v>50571</v>
      </c>
      <c r="CH49" s="40"/>
      <c r="CI49" s="40"/>
      <c r="CJ49" s="40"/>
      <c r="CK49" s="40"/>
      <c r="CL49" s="40">
        <f t="shared" si="2"/>
        <v>0</v>
      </c>
      <c r="CM49" s="40"/>
      <c r="CN49" s="85">
        <v>50571</v>
      </c>
      <c r="CS49" s="40">
        <f t="shared" si="3"/>
        <v>0</v>
      </c>
      <c r="CT49" s="85"/>
      <c r="CU49" s="85">
        <v>50571</v>
      </c>
      <c r="DA49" s="85">
        <v>50571</v>
      </c>
      <c r="DE49" s="40">
        <v>0</v>
      </c>
      <c r="DG49" s="85">
        <v>50571</v>
      </c>
      <c r="DK49" s="40">
        <v>0</v>
      </c>
      <c r="DM49" s="85">
        <v>50571</v>
      </c>
      <c r="DR49" s="40">
        <f t="shared" si="4"/>
        <v>0</v>
      </c>
      <c r="DT49" s="85">
        <v>50571</v>
      </c>
      <c r="DY49" s="40">
        <f t="shared" si="5"/>
        <v>0</v>
      </c>
      <c r="EA49" s="85">
        <v>50571</v>
      </c>
      <c r="EF49" s="40">
        <f t="shared" si="6"/>
        <v>0</v>
      </c>
      <c r="EH49" s="85">
        <v>50571</v>
      </c>
      <c r="EM49" s="40">
        <f t="shared" si="7"/>
        <v>0</v>
      </c>
    </row>
    <row r="50" spans="2:143" x14ac:dyDescent="0.4">
      <c r="B50" s="85">
        <v>50770</v>
      </c>
      <c r="C50" s="85"/>
      <c r="D50" s="85">
        <v>50754</v>
      </c>
      <c r="E50" s="40">
        <f t="shared" si="8"/>
        <v>888013.6</v>
      </c>
      <c r="F50" s="40">
        <f t="shared" si="9"/>
        <v>22584062.5</v>
      </c>
      <c r="G50" s="40">
        <f t="shared" si="10"/>
        <v>351986.4</v>
      </c>
      <c r="H50" s="39">
        <v>0</v>
      </c>
      <c r="I50" s="40">
        <f t="shared" si="11"/>
        <v>23824062.5</v>
      </c>
      <c r="J50" s="40"/>
      <c r="L50" s="85">
        <v>50754</v>
      </c>
      <c r="M50" s="40">
        <v>888013.6</v>
      </c>
      <c r="N50" s="101">
        <v>6.5000000000000002E-2</v>
      </c>
      <c r="O50" s="40">
        <f t="shared" si="16"/>
        <v>137637.5</v>
      </c>
      <c r="P50" s="40">
        <f>1240000-M50</f>
        <v>351986.4</v>
      </c>
      <c r="Q50" s="40">
        <f t="shared" si="12"/>
        <v>1377637.5</v>
      </c>
      <c r="S50" s="85">
        <v>50754</v>
      </c>
      <c r="T50" s="40"/>
      <c r="U50" s="40"/>
      <c r="V50" s="40"/>
      <c r="W50" s="40"/>
      <c r="X50" s="40">
        <v>0</v>
      </c>
      <c r="Z50" s="85">
        <v>50754</v>
      </c>
      <c r="AA50" s="40"/>
      <c r="AB50" s="40"/>
      <c r="AC50" s="40"/>
      <c r="AD50" s="40"/>
      <c r="AE50" s="40">
        <v>0</v>
      </c>
      <c r="AG50" s="85">
        <v>50754</v>
      </c>
      <c r="AH50" s="40"/>
      <c r="AI50" s="40"/>
      <c r="AJ50" s="40"/>
      <c r="AK50" s="40"/>
      <c r="AL50" s="40">
        <v>0</v>
      </c>
      <c r="AN50" s="85">
        <v>50754</v>
      </c>
      <c r="AO50" s="40"/>
      <c r="AP50" s="40"/>
      <c r="AQ50" s="40"/>
      <c r="AR50" s="40">
        <v>0</v>
      </c>
      <c r="AT50" s="85">
        <v>50754</v>
      </c>
      <c r="AU50" s="40"/>
      <c r="AV50" s="87">
        <v>0</v>
      </c>
      <c r="AW50" s="40"/>
      <c r="AX50" s="40">
        <v>0</v>
      </c>
      <c r="AZ50" s="85">
        <v>50754</v>
      </c>
      <c r="BA50" s="40"/>
      <c r="BB50" s="87"/>
      <c r="BC50" s="40"/>
      <c r="BD50" s="40"/>
      <c r="BE50" s="40">
        <f t="shared" si="0"/>
        <v>0</v>
      </c>
      <c r="BF50" s="67"/>
      <c r="BG50" s="85">
        <v>50754</v>
      </c>
      <c r="BI50" s="40"/>
      <c r="BJ50" s="87"/>
      <c r="BL50" s="40">
        <v>0</v>
      </c>
      <c r="BM50" s="67"/>
      <c r="BN50" s="85">
        <v>50754</v>
      </c>
      <c r="BO50" s="40"/>
      <c r="BP50" s="87"/>
      <c r="BQ50" s="40"/>
      <c r="BR50" s="87"/>
      <c r="BS50" s="40"/>
      <c r="BT50" s="87"/>
      <c r="BU50" s="40"/>
      <c r="BV50" s="87"/>
      <c r="BW50" s="40">
        <f t="shared" si="13"/>
        <v>18269725</v>
      </c>
      <c r="BX50" s="40"/>
      <c r="BY50" s="40">
        <f t="shared" si="14"/>
        <v>18269725</v>
      </c>
      <c r="BZ50" s="67"/>
      <c r="CA50" s="85">
        <v>50754</v>
      </c>
      <c r="CB50" s="40"/>
      <c r="CC50" s="87"/>
      <c r="CD50" s="40">
        <f t="shared" si="15"/>
        <v>4176700</v>
      </c>
      <c r="CE50" s="40">
        <f t="shared" si="1"/>
        <v>4176700</v>
      </c>
      <c r="CF50" s="67"/>
      <c r="CG50" s="85">
        <v>50754</v>
      </c>
      <c r="CH50" s="40"/>
      <c r="CI50" s="40"/>
      <c r="CJ50" s="40"/>
      <c r="CK50" s="40"/>
      <c r="CL50" s="40">
        <f t="shared" si="2"/>
        <v>0</v>
      </c>
      <c r="CM50" s="40"/>
      <c r="CN50" s="85">
        <v>50754</v>
      </c>
      <c r="CS50" s="40">
        <f t="shared" si="3"/>
        <v>0</v>
      </c>
      <c r="CT50" s="85"/>
      <c r="CU50" s="85">
        <v>50754</v>
      </c>
      <c r="DA50" s="85">
        <v>50754</v>
      </c>
      <c r="DE50" s="40">
        <v>0</v>
      </c>
      <c r="DG50" s="85">
        <v>50754</v>
      </c>
      <c r="DK50" s="40">
        <v>0</v>
      </c>
      <c r="DM50" s="85">
        <v>50754</v>
      </c>
      <c r="DR50" s="40">
        <f t="shared" si="4"/>
        <v>0</v>
      </c>
      <c r="DT50" s="85">
        <v>50754</v>
      </c>
      <c r="DY50" s="40">
        <f t="shared" si="5"/>
        <v>0</v>
      </c>
      <c r="EA50" s="85">
        <v>50754</v>
      </c>
      <c r="EF50" s="40">
        <f t="shared" si="6"/>
        <v>0</v>
      </c>
      <c r="EH50" s="85">
        <v>50754</v>
      </c>
      <c r="EM50" s="40">
        <f t="shared" si="7"/>
        <v>0</v>
      </c>
    </row>
    <row r="51" spans="2:143" x14ac:dyDescent="0.4">
      <c r="B51" s="85">
        <v>50951</v>
      </c>
      <c r="C51" s="85"/>
      <c r="D51" s="85">
        <v>50936</v>
      </c>
      <c r="E51" s="40">
        <f t="shared" si="8"/>
        <v>880852.2</v>
      </c>
      <c r="F51" s="40">
        <f t="shared" si="9"/>
        <v>22543762.5</v>
      </c>
      <c r="G51" s="40">
        <f t="shared" si="10"/>
        <v>349147.80000000005</v>
      </c>
      <c r="H51" s="39">
        <v>0</v>
      </c>
      <c r="I51" s="40">
        <f t="shared" si="11"/>
        <v>23773762.5</v>
      </c>
      <c r="J51" s="40">
        <f>SUM(I50:I51)</f>
        <v>47597825</v>
      </c>
      <c r="L51" s="85">
        <v>50936</v>
      </c>
      <c r="M51" s="40">
        <v>880852.2</v>
      </c>
      <c r="N51" s="101">
        <v>6.5000000000000002E-2</v>
      </c>
      <c r="O51" s="40">
        <f t="shared" si="16"/>
        <v>97337.5</v>
      </c>
      <c r="P51" s="40">
        <f>1230000-M51</f>
        <v>349147.80000000005</v>
      </c>
      <c r="Q51" s="40">
        <f t="shared" si="12"/>
        <v>1327337.5</v>
      </c>
      <c r="S51" s="85">
        <v>50936</v>
      </c>
      <c r="T51" s="40"/>
      <c r="U51" s="40"/>
      <c r="V51" s="40"/>
      <c r="W51" s="40"/>
      <c r="X51" s="40">
        <v>0</v>
      </c>
      <c r="Z51" s="85">
        <v>50936</v>
      </c>
      <c r="AA51" s="40"/>
      <c r="AB51" s="40"/>
      <c r="AC51" s="40"/>
      <c r="AD51" s="40"/>
      <c r="AE51" s="40">
        <v>0</v>
      </c>
      <c r="AG51" s="85">
        <v>50936</v>
      </c>
      <c r="AH51" s="40"/>
      <c r="AI51" s="40"/>
      <c r="AJ51" s="40"/>
      <c r="AK51" s="40"/>
      <c r="AL51" s="40">
        <v>0</v>
      </c>
      <c r="AN51" s="85">
        <v>50936</v>
      </c>
      <c r="AO51" s="40"/>
      <c r="AP51" s="40"/>
      <c r="AQ51" s="40"/>
      <c r="AR51" s="40">
        <v>0</v>
      </c>
      <c r="AT51" s="85">
        <v>50936</v>
      </c>
      <c r="AU51" s="40"/>
      <c r="AV51" s="87">
        <v>0</v>
      </c>
      <c r="AW51" s="40"/>
      <c r="AX51" s="40">
        <v>0</v>
      </c>
      <c r="AZ51" s="85">
        <v>50936</v>
      </c>
      <c r="BA51" s="40"/>
      <c r="BB51" s="87"/>
      <c r="BC51" s="40"/>
      <c r="BD51" s="40"/>
      <c r="BE51" s="40">
        <f t="shared" si="0"/>
        <v>0</v>
      </c>
      <c r="BF51" s="67"/>
      <c r="BG51" s="85">
        <v>50936</v>
      </c>
      <c r="BI51" s="40"/>
      <c r="BJ51" s="87"/>
      <c r="BL51" s="40">
        <v>0</v>
      </c>
      <c r="BM51" s="67"/>
      <c r="BN51" s="85">
        <v>50936</v>
      </c>
      <c r="BO51" s="40"/>
      <c r="BP51" s="87"/>
      <c r="BQ51" s="40"/>
      <c r="BR51" s="87"/>
      <c r="BS51" s="40"/>
      <c r="BT51" s="87"/>
      <c r="BU51" s="40"/>
      <c r="BV51" s="87"/>
      <c r="BW51" s="40">
        <f t="shared" si="13"/>
        <v>18269725</v>
      </c>
      <c r="BX51" s="40"/>
      <c r="BY51" s="40">
        <f t="shared" si="14"/>
        <v>18269725</v>
      </c>
      <c r="BZ51" s="67"/>
      <c r="CA51" s="85">
        <v>50936</v>
      </c>
      <c r="CB51" s="40"/>
      <c r="CC51" s="87"/>
      <c r="CD51" s="40">
        <f t="shared" si="15"/>
        <v>4176700</v>
      </c>
      <c r="CE51" s="40">
        <f t="shared" si="1"/>
        <v>4176700</v>
      </c>
      <c r="CF51" s="67"/>
      <c r="CG51" s="85">
        <v>50936</v>
      </c>
      <c r="CH51" s="40"/>
      <c r="CI51" s="40"/>
      <c r="CJ51" s="40"/>
      <c r="CK51" s="40"/>
      <c r="CL51" s="40">
        <f t="shared" si="2"/>
        <v>0</v>
      </c>
      <c r="CM51" s="40"/>
      <c r="CN51" s="85">
        <v>50936</v>
      </c>
      <c r="CS51" s="40">
        <f t="shared" si="3"/>
        <v>0</v>
      </c>
      <c r="CT51" s="85"/>
      <c r="CU51" s="85">
        <v>50936</v>
      </c>
      <c r="DA51" s="85">
        <v>50936</v>
      </c>
      <c r="DE51" s="40">
        <v>0</v>
      </c>
      <c r="DG51" s="85">
        <v>50936</v>
      </c>
      <c r="DK51" s="40">
        <v>0</v>
      </c>
      <c r="DM51" s="85">
        <v>50936</v>
      </c>
      <c r="DR51" s="40">
        <f t="shared" si="4"/>
        <v>0</v>
      </c>
      <c r="DT51" s="85">
        <v>50936</v>
      </c>
      <c r="DY51" s="40">
        <f t="shared" si="5"/>
        <v>0</v>
      </c>
      <c r="EA51" s="85">
        <v>50936</v>
      </c>
      <c r="EF51" s="40">
        <f t="shared" si="6"/>
        <v>0</v>
      </c>
      <c r="EH51" s="85">
        <v>50936</v>
      </c>
      <c r="EM51" s="40">
        <f t="shared" si="7"/>
        <v>0</v>
      </c>
    </row>
    <row r="52" spans="2:143" x14ac:dyDescent="0.4">
      <c r="B52" s="85">
        <v>51135</v>
      </c>
      <c r="C52" s="85"/>
      <c r="D52" s="85">
        <v>51119</v>
      </c>
      <c r="E52" s="40">
        <f t="shared" si="8"/>
        <v>666010.19999999995</v>
      </c>
      <c r="F52" s="40">
        <f t="shared" si="9"/>
        <v>22503787.5</v>
      </c>
      <c r="G52" s="40">
        <f t="shared" si="10"/>
        <v>263989.80000000005</v>
      </c>
      <c r="H52" s="39">
        <v>0</v>
      </c>
      <c r="I52" s="40">
        <f t="shared" si="11"/>
        <v>23433787.5</v>
      </c>
      <c r="J52" s="40"/>
      <c r="L52" s="85">
        <v>51119</v>
      </c>
      <c r="M52" s="40">
        <v>666010.19999999995</v>
      </c>
      <c r="N52" s="101">
        <v>6.5000000000000002E-2</v>
      </c>
      <c r="O52" s="40">
        <f t="shared" si="16"/>
        <v>57362.5</v>
      </c>
      <c r="P52" s="40">
        <f>930000-M52</f>
        <v>263989.80000000005</v>
      </c>
      <c r="Q52" s="40">
        <f t="shared" si="12"/>
        <v>987362.5</v>
      </c>
      <c r="S52" s="85">
        <v>51119</v>
      </c>
      <c r="T52" s="40"/>
      <c r="U52" s="40"/>
      <c r="V52" s="40"/>
      <c r="W52" s="40"/>
      <c r="X52" s="40">
        <v>0</v>
      </c>
      <c r="Z52" s="85">
        <v>51119</v>
      </c>
      <c r="AA52" s="40"/>
      <c r="AB52" s="40"/>
      <c r="AC52" s="40"/>
      <c r="AD52" s="40"/>
      <c r="AE52" s="40">
        <v>0</v>
      </c>
      <c r="AG52" s="85">
        <v>51119</v>
      </c>
      <c r="AH52" s="40"/>
      <c r="AI52" s="40"/>
      <c r="AJ52" s="40"/>
      <c r="AK52" s="40"/>
      <c r="AL52" s="40">
        <v>0</v>
      </c>
      <c r="AN52" s="85">
        <v>51119</v>
      </c>
      <c r="AO52" s="40"/>
      <c r="AP52" s="40"/>
      <c r="AQ52" s="40"/>
      <c r="AR52" s="40">
        <v>0</v>
      </c>
      <c r="AT52" s="85">
        <v>51119</v>
      </c>
      <c r="AU52" s="40"/>
      <c r="AV52" s="87">
        <v>0</v>
      </c>
      <c r="AW52" s="40"/>
      <c r="AX52" s="40">
        <v>0</v>
      </c>
      <c r="AZ52" s="85">
        <v>51119</v>
      </c>
      <c r="BA52" s="40"/>
      <c r="BB52" s="87"/>
      <c r="BC52" s="40"/>
      <c r="BD52" s="40"/>
      <c r="BE52" s="40">
        <f t="shared" si="0"/>
        <v>0</v>
      </c>
      <c r="BF52" s="67"/>
      <c r="BG52" s="85">
        <v>51119</v>
      </c>
      <c r="BI52" s="40"/>
      <c r="BJ52" s="87"/>
      <c r="BL52" s="40">
        <v>0</v>
      </c>
      <c r="BM52" s="67"/>
      <c r="BN52" s="85">
        <v>51119</v>
      </c>
      <c r="BO52" s="40"/>
      <c r="BP52" s="87"/>
      <c r="BQ52" s="40"/>
      <c r="BR52" s="87"/>
      <c r="BS52" s="40"/>
      <c r="BT52" s="87"/>
      <c r="BU52" s="40"/>
      <c r="BV52" s="87"/>
      <c r="BW52" s="40">
        <f t="shared" si="13"/>
        <v>18269725</v>
      </c>
      <c r="BX52" s="40"/>
      <c r="BY52" s="40">
        <f t="shared" si="14"/>
        <v>18269725</v>
      </c>
      <c r="BZ52" s="67"/>
      <c r="CA52" s="85">
        <v>51119</v>
      </c>
      <c r="CB52" s="40"/>
      <c r="CC52" s="87"/>
      <c r="CD52" s="40">
        <f t="shared" si="15"/>
        <v>4176700</v>
      </c>
      <c r="CE52" s="40">
        <f t="shared" si="1"/>
        <v>4176700</v>
      </c>
      <c r="CF52" s="67"/>
      <c r="CG52" s="85">
        <v>51119</v>
      </c>
      <c r="CH52" s="40"/>
      <c r="CI52" s="40"/>
      <c r="CJ52" s="40"/>
      <c r="CK52" s="40"/>
      <c r="CL52" s="40">
        <f t="shared" si="2"/>
        <v>0</v>
      </c>
      <c r="CM52" s="40"/>
      <c r="CN52" s="85">
        <v>51119</v>
      </c>
      <c r="CS52" s="40">
        <f t="shared" si="3"/>
        <v>0</v>
      </c>
      <c r="CT52" s="85"/>
      <c r="CU52" s="85">
        <v>51119</v>
      </c>
      <c r="DA52" s="85">
        <v>51119</v>
      </c>
      <c r="DE52" s="40">
        <v>0</v>
      </c>
      <c r="DG52" s="85">
        <v>51119</v>
      </c>
      <c r="DK52" s="40">
        <v>0</v>
      </c>
      <c r="DM52" s="85">
        <v>51119</v>
      </c>
      <c r="DR52" s="40">
        <f t="shared" si="4"/>
        <v>0</v>
      </c>
      <c r="DT52" s="85">
        <v>51119</v>
      </c>
      <c r="DY52" s="40">
        <f t="shared" si="5"/>
        <v>0</v>
      </c>
      <c r="EA52" s="85">
        <v>51119</v>
      </c>
      <c r="EF52" s="40">
        <f t="shared" si="6"/>
        <v>0</v>
      </c>
      <c r="EH52" s="85">
        <v>51119</v>
      </c>
      <c r="EM52" s="40">
        <f t="shared" si="7"/>
        <v>0</v>
      </c>
    </row>
    <row r="53" spans="2:143" x14ac:dyDescent="0.4">
      <c r="B53" s="85">
        <v>51317</v>
      </c>
      <c r="C53" s="85"/>
      <c r="D53" s="85">
        <v>51302</v>
      </c>
      <c r="E53" s="40">
        <f t="shared" si="8"/>
        <v>597976.9</v>
      </c>
      <c r="F53" s="40">
        <f t="shared" si="9"/>
        <v>22473562.5</v>
      </c>
      <c r="G53" s="40">
        <f t="shared" si="10"/>
        <v>237023.09999999998</v>
      </c>
      <c r="H53" s="39">
        <v>0</v>
      </c>
      <c r="I53" s="40">
        <f t="shared" si="11"/>
        <v>23308562.5</v>
      </c>
      <c r="J53" s="40">
        <f>SUM(I52:I53)</f>
        <v>46742350</v>
      </c>
      <c r="L53" s="85">
        <v>51302</v>
      </c>
      <c r="M53" s="40">
        <v>597976.9</v>
      </c>
      <c r="N53" s="101">
        <v>6.5000000000000002E-2</v>
      </c>
      <c r="O53" s="40">
        <f>(M53+P53)*N53/2+O54</f>
        <v>27137.5</v>
      </c>
      <c r="P53" s="40">
        <f>835000-M53</f>
        <v>237023.09999999998</v>
      </c>
      <c r="Q53" s="40">
        <f t="shared" si="12"/>
        <v>862137.5</v>
      </c>
      <c r="S53" s="85">
        <v>51302</v>
      </c>
      <c r="T53" s="40"/>
      <c r="U53" s="40"/>
      <c r="V53" s="40"/>
      <c r="W53" s="40"/>
      <c r="X53" s="40">
        <v>0</v>
      </c>
      <c r="Z53" s="85">
        <v>51302</v>
      </c>
      <c r="AA53" s="40"/>
      <c r="AB53" s="40"/>
      <c r="AC53" s="40"/>
      <c r="AD53" s="40"/>
      <c r="AE53" s="40">
        <v>0</v>
      </c>
      <c r="AG53" s="85">
        <v>51302</v>
      </c>
      <c r="AH53" s="40"/>
      <c r="AI53" s="40"/>
      <c r="AJ53" s="40"/>
      <c r="AK53" s="40"/>
      <c r="AL53" s="40">
        <v>0</v>
      </c>
      <c r="AN53" s="85">
        <v>51302</v>
      </c>
      <c r="AO53" s="40"/>
      <c r="AP53" s="40"/>
      <c r="AQ53" s="40"/>
      <c r="AR53" s="40">
        <v>0</v>
      </c>
      <c r="AT53" s="85">
        <v>51302</v>
      </c>
      <c r="AU53" s="40"/>
      <c r="AV53" s="87">
        <v>0</v>
      </c>
      <c r="AW53" s="40"/>
      <c r="AX53" s="40">
        <v>0</v>
      </c>
      <c r="AZ53" s="85">
        <v>51302</v>
      </c>
      <c r="BA53" s="40"/>
      <c r="BB53" s="87"/>
      <c r="BC53" s="40"/>
      <c r="BD53" s="40"/>
      <c r="BE53" s="40">
        <f t="shared" si="0"/>
        <v>0</v>
      </c>
      <c r="BF53" s="67"/>
      <c r="BG53" s="85">
        <v>51302</v>
      </c>
      <c r="BI53" s="40"/>
      <c r="BJ53" s="87"/>
      <c r="BL53" s="40">
        <v>0</v>
      </c>
      <c r="BM53" s="67"/>
      <c r="BN53" s="85">
        <v>51302</v>
      </c>
      <c r="BO53" s="40"/>
      <c r="BP53" s="87"/>
      <c r="BQ53" s="40"/>
      <c r="BR53" s="87"/>
      <c r="BS53" s="40"/>
      <c r="BT53" s="87"/>
      <c r="BU53" s="40"/>
      <c r="BV53" s="87"/>
      <c r="BW53" s="40">
        <f t="shared" si="13"/>
        <v>18269725</v>
      </c>
      <c r="BX53" s="40"/>
      <c r="BY53" s="40">
        <f t="shared" si="14"/>
        <v>18269725</v>
      </c>
      <c r="BZ53" s="67"/>
      <c r="CA53" s="85">
        <v>51302</v>
      </c>
      <c r="CB53" s="40"/>
      <c r="CC53" s="87"/>
      <c r="CD53" s="40">
        <f t="shared" si="15"/>
        <v>4176700</v>
      </c>
      <c r="CE53" s="40">
        <f t="shared" si="1"/>
        <v>4176700</v>
      </c>
      <c r="CF53" s="67"/>
      <c r="CG53" s="85">
        <v>51302</v>
      </c>
      <c r="CH53" s="40"/>
      <c r="CI53" s="40"/>
      <c r="CJ53" s="40"/>
      <c r="CK53" s="40"/>
      <c r="CL53" s="40">
        <f t="shared" si="2"/>
        <v>0</v>
      </c>
      <c r="CM53" s="40"/>
      <c r="CN53" s="85">
        <v>51302</v>
      </c>
      <c r="CS53" s="40">
        <f t="shared" si="3"/>
        <v>0</v>
      </c>
      <c r="CT53" s="85"/>
      <c r="CU53" s="85">
        <v>51302</v>
      </c>
      <c r="DA53" s="85">
        <v>51302</v>
      </c>
      <c r="DE53" s="40">
        <v>0</v>
      </c>
      <c r="DG53" s="85">
        <v>51302</v>
      </c>
      <c r="DK53" s="40">
        <v>0</v>
      </c>
      <c r="DM53" s="85">
        <v>51302</v>
      </c>
      <c r="DR53" s="40">
        <f t="shared" si="4"/>
        <v>0</v>
      </c>
      <c r="DT53" s="85">
        <v>51302</v>
      </c>
      <c r="DY53" s="40">
        <f t="shared" si="5"/>
        <v>0</v>
      </c>
      <c r="EA53" s="85">
        <v>51302</v>
      </c>
      <c r="EF53" s="40">
        <f t="shared" si="6"/>
        <v>0</v>
      </c>
      <c r="EH53" s="85">
        <v>51302</v>
      </c>
      <c r="EM53" s="40">
        <f t="shared" si="7"/>
        <v>0</v>
      </c>
    </row>
    <row r="54" spans="2:143" x14ac:dyDescent="0.4">
      <c r="B54" s="85">
        <v>51501</v>
      </c>
      <c r="C54" s="85"/>
      <c r="D54" s="85">
        <v>51485</v>
      </c>
      <c r="E54" s="40">
        <f t="shared" si="8"/>
        <v>0</v>
      </c>
      <c r="F54" s="40">
        <f t="shared" si="9"/>
        <v>22446425</v>
      </c>
      <c r="G54" s="40">
        <f t="shared" si="10"/>
        <v>0</v>
      </c>
      <c r="H54" s="39">
        <v>0</v>
      </c>
      <c r="I54" s="40">
        <f t="shared" si="11"/>
        <v>22446425</v>
      </c>
      <c r="J54" s="40"/>
      <c r="L54" s="85">
        <v>51485</v>
      </c>
      <c r="M54" s="40"/>
      <c r="N54" s="101"/>
      <c r="O54" s="40"/>
      <c r="P54" s="40"/>
      <c r="Q54" s="40">
        <f t="shared" si="12"/>
        <v>0</v>
      </c>
      <c r="S54" s="85">
        <v>51485</v>
      </c>
      <c r="T54" s="40"/>
      <c r="U54" s="40"/>
      <c r="V54" s="40"/>
      <c r="W54" s="40"/>
      <c r="X54" s="40">
        <v>0</v>
      </c>
      <c r="Z54" s="85">
        <v>51485</v>
      </c>
      <c r="AA54" s="40"/>
      <c r="AB54" s="40"/>
      <c r="AC54" s="40"/>
      <c r="AD54" s="40"/>
      <c r="AE54" s="40">
        <v>0</v>
      </c>
      <c r="AG54" s="85">
        <v>51485</v>
      </c>
      <c r="AH54" s="40"/>
      <c r="AI54" s="40"/>
      <c r="AJ54" s="40"/>
      <c r="AK54" s="40"/>
      <c r="AL54" s="40">
        <v>0</v>
      </c>
      <c r="AN54" s="85">
        <v>51485</v>
      </c>
      <c r="AO54" s="40"/>
      <c r="AP54" s="40"/>
      <c r="AQ54" s="40"/>
      <c r="AR54" s="40">
        <v>0</v>
      </c>
      <c r="AT54" s="85">
        <v>51485</v>
      </c>
      <c r="AU54" s="40"/>
      <c r="AV54" s="87">
        <v>0</v>
      </c>
      <c r="AW54" s="40"/>
      <c r="AX54" s="40">
        <v>0</v>
      </c>
      <c r="AZ54" s="85">
        <v>51485</v>
      </c>
      <c r="BA54" s="40"/>
      <c r="BB54" s="87"/>
      <c r="BC54" s="40"/>
      <c r="BD54" s="40"/>
      <c r="BE54" s="40">
        <f t="shared" si="0"/>
        <v>0</v>
      </c>
      <c r="BF54" s="67"/>
      <c r="BG54" s="85">
        <v>51485</v>
      </c>
      <c r="BI54" s="40"/>
      <c r="BJ54" s="87"/>
      <c r="BL54" s="40">
        <v>0</v>
      </c>
      <c r="BM54" s="67"/>
      <c r="BN54" s="85">
        <v>51485</v>
      </c>
      <c r="BO54" s="40"/>
      <c r="BP54" s="87"/>
      <c r="BQ54" s="40"/>
      <c r="BR54" s="87"/>
      <c r="BS54" s="40"/>
      <c r="BT54" s="87"/>
      <c r="BU54" s="40"/>
      <c r="BV54" s="87"/>
      <c r="BW54" s="40">
        <f t="shared" si="13"/>
        <v>18269725</v>
      </c>
      <c r="BX54" s="40"/>
      <c r="BY54" s="40">
        <f t="shared" si="14"/>
        <v>18269725</v>
      </c>
      <c r="BZ54" s="67"/>
      <c r="CA54" s="85">
        <v>51485</v>
      </c>
      <c r="CB54" s="40"/>
      <c r="CC54" s="87"/>
      <c r="CD54" s="40">
        <f t="shared" si="15"/>
        <v>4176700</v>
      </c>
      <c r="CE54" s="40">
        <f t="shared" si="1"/>
        <v>4176700</v>
      </c>
      <c r="CF54" s="67"/>
      <c r="CG54" s="85">
        <v>51485</v>
      </c>
      <c r="CH54" s="40"/>
      <c r="CI54" s="40"/>
      <c r="CJ54" s="40"/>
      <c r="CK54" s="40"/>
      <c r="CL54" s="40">
        <f t="shared" si="2"/>
        <v>0</v>
      </c>
      <c r="CM54" s="40"/>
      <c r="CN54" s="85">
        <v>51485</v>
      </c>
      <c r="CS54" s="40">
        <f t="shared" si="3"/>
        <v>0</v>
      </c>
      <c r="CT54" s="85"/>
      <c r="CU54" s="85">
        <v>51485</v>
      </c>
      <c r="DA54" s="85">
        <v>51485</v>
      </c>
      <c r="DE54" s="40">
        <v>0</v>
      </c>
      <c r="DG54" s="85">
        <v>51485</v>
      </c>
      <c r="DK54" s="40">
        <v>0</v>
      </c>
      <c r="DM54" s="85">
        <v>51485</v>
      </c>
      <c r="DR54" s="40">
        <f t="shared" si="4"/>
        <v>0</v>
      </c>
      <c r="DT54" s="85">
        <v>51485</v>
      </c>
      <c r="DY54" s="40">
        <f t="shared" si="5"/>
        <v>0</v>
      </c>
      <c r="EA54" s="85">
        <v>51485</v>
      </c>
      <c r="EF54" s="40">
        <f t="shared" si="6"/>
        <v>0</v>
      </c>
      <c r="EH54" s="85">
        <v>51485</v>
      </c>
      <c r="EM54" s="40">
        <f t="shared" si="7"/>
        <v>0</v>
      </c>
    </row>
    <row r="55" spans="2:143" x14ac:dyDescent="0.4">
      <c r="B55" s="85">
        <v>51682</v>
      </c>
      <c r="C55" s="85"/>
      <c r="D55" s="85">
        <v>51667</v>
      </c>
      <c r="E55" s="40">
        <f t="shared" si="8"/>
        <v>0</v>
      </c>
      <c r="F55" s="40">
        <f t="shared" si="9"/>
        <v>22446425</v>
      </c>
      <c r="G55" s="40">
        <f t="shared" si="10"/>
        <v>0</v>
      </c>
      <c r="H55" s="39">
        <v>0</v>
      </c>
      <c r="I55" s="40">
        <f t="shared" si="11"/>
        <v>22446425</v>
      </c>
      <c r="J55" s="40">
        <f>SUM(I54:I55)</f>
        <v>44892850</v>
      </c>
      <c r="L55" s="85">
        <v>51667</v>
      </c>
      <c r="M55" s="40"/>
      <c r="N55" s="101"/>
      <c r="O55" s="40"/>
      <c r="P55" s="40"/>
      <c r="Q55" s="40">
        <f t="shared" si="12"/>
        <v>0</v>
      </c>
      <c r="S55" s="85">
        <v>51667</v>
      </c>
      <c r="T55" s="40"/>
      <c r="U55" s="40"/>
      <c r="V55" s="40"/>
      <c r="W55" s="40"/>
      <c r="X55" s="40">
        <v>0</v>
      </c>
      <c r="Z55" s="85">
        <v>51667</v>
      </c>
      <c r="AA55" s="40"/>
      <c r="AB55" s="40"/>
      <c r="AC55" s="40"/>
      <c r="AD55" s="40"/>
      <c r="AE55" s="40">
        <v>0</v>
      </c>
      <c r="AG55" s="85">
        <v>51667</v>
      </c>
      <c r="AH55" s="40"/>
      <c r="AI55" s="40"/>
      <c r="AJ55" s="40"/>
      <c r="AK55" s="40"/>
      <c r="AL55" s="40">
        <v>0</v>
      </c>
      <c r="AN55" s="85">
        <v>51667</v>
      </c>
      <c r="AO55" s="40"/>
      <c r="AP55" s="40"/>
      <c r="AQ55" s="40"/>
      <c r="AR55" s="40">
        <v>0</v>
      </c>
      <c r="AT55" s="85">
        <v>51667</v>
      </c>
      <c r="AU55" s="40"/>
      <c r="AV55" s="87">
        <v>0</v>
      </c>
      <c r="AW55" s="40"/>
      <c r="AX55" s="40">
        <v>0</v>
      </c>
      <c r="AZ55" s="85">
        <v>51667</v>
      </c>
      <c r="BA55" s="40"/>
      <c r="BB55" s="87"/>
      <c r="BC55" s="40"/>
      <c r="BD55" s="40"/>
      <c r="BE55" s="40">
        <f t="shared" si="0"/>
        <v>0</v>
      </c>
      <c r="BF55" s="67"/>
      <c r="BG55" s="85">
        <v>51667</v>
      </c>
      <c r="BI55" s="40"/>
      <c r="BJ55" s="87"/>
      <c r="BL55" s="40">
        <v>0</v>
      </c>
      <c r="BM55" s="67"/>
      <c r="BN55" s="85">
        <v>51667</v>
      </c>
      <c r="BO55" s="40"/>
      <c r="BP55" s="87"/>
      <c r="BQ55" s="40"/>
      <c r="BR55" s="87"/>
      <c r="BS55" s="40"/>
      <c r="BT55" s="87"/>
      <c r="BU55" s="40"/>
      <c r="BV55" s="87"/>
      <c r="BW55" s="40">
        <f t="shared" si="13"/>
        <v>18269725</v>
      </c>
      <c r="BX55" s="40"/>
      <c r="BY55" s="40">
        <f t="shared" si="14"/>
        <v>18269725</v>
      </c>
      <c r="BZ55" s="67"/>
      <c r="CA55" s="85">
        <v>51667</v>
      </c>
      <c r="CB55" s="40"/>
      <c r="CC55" s="87"/>
      <c r="CD55" s="40">
        <f t="shared" si="15"/>
        <v>4176700</v>
      </c>
      <c r="CE55" s="40">
        <f t="shared" si="1"/>
        <v>4176700</v>
      </c>
      <c r="CF55" s="67"/>
      <c r="CG55" s="85">
        <v>51667</v>
      </c>
      <c r="CH55" s="40"/>
      <c r="CI55" s="40"/>
      <c r="CJ55" s="40"/>
      <c r="CK55" s="40"/>
      <c r="CL55" s="40">
        <f t="shared" si="2"/>
        <v>0</v>
      </c>
      <c r="CM55" s="40"/>
      <c r="CN55" s="85">
        <v>51667</v>
      </c>
      <c r="CS55" s="40">
        <f t="shared" si="3"/>
        <v>0</v>
      </c>
      <c r="CT55" s="85"/>
      <c r="CU55" s="85">
        <v>51667</v>
      </c>
      <c r="DA55" s="85">
        <v>51667</v>
      </c>
      <c r="DE55" s="40">
        <v>0</v>
      </c>
      <c r="DG55" s="85">
        <v>51667</v>
      </c>
      <c r="DK55" s="40">
        <v>0</v>
      </c>
      <c r="DM55" s="85">
        <v>51667</v>
      </c>
      <c r="DR55" s="40">
        <f t="shared" si="4"/>
        <v>0</v>
      </c>
      <c r="DT55" s="85">
        <v>51667</v>
      </c>
      <c r="DY55" s="40">
        <f t="shared" si="5"/>
        <v>0</v>
      </c>
      <c r="EA55" s="85">
        <v>51667</v>
      </c>
      <c r="EF55" s="40">
        <f t="shared" si="6"/>
        <v>0</v>
      </c>
      <c r="EH55" s="85">
        <v>51667</v>
      </c>
      <c r="EM55" s="40">
        <f t="shared" si="7"/>
        <v>0</v>
      </c>
    </row>
    <row r="56" spans="2:143" x14ac:dyDescent="0.4">
      <c r="B56" s="85">
        <v>51866</v>
      </c>
      <c r="C56" s="85"/>
      <c r="D56" s="85">
        <v>51850</v>
      </c>
      <c r="E56" s="40">
        <f t="shared" si="8"/>
        <v>0</v>
      </c>
      <c r="F56" s="40">
        <f t="shared" si="9"/>
        <v>22446425</v>
      </c>
      <c r="G56" s="40">
        <f t="shared" si="10"/>
        <v>0</v>
      </c>
      <c r="H56" s="39">
        <v>0</v>
      </c>
      <c r="I56" s="40">
        <f t="shared" si="11"/>
        <v>22446425</v>
      </c>
      <c r="J56" s="40"/>
      <c r="L56" s="85">
        <v>51850</v>
      </c>
      <c r="M56" s="40"/>
      <c r="N56" s="101"/>
      <c r="O56" s="40"/>
      <c r="P56" s="40"/>
      <c r="Q56" s="40">
        <f t="shared" si="12"/>
        <v>0</v>
      </c>
      <c r="S56" s="85">
        <v>51850</v>
      </c>
      <c r="T56" s="40"/>
      <c r="U56" s="40"/>
      <c r="V56" s="40"/>
      <c r="W56" s="40"/>
      <c r="X56" s="40">
        <v>0</v>
      </c>
      <c r="Z56" s="85">
        <v>51850</v>
      </c>
      <c r="AA56" s="40"/>
      <c r="AB56" s="40"/>
      <c r="AC56" s="40"/>
      <c r="AD56" s="40"/>
      <c r="AE56" s="40">
        <v>0</v>
      </c>
      <c r="AG56" s="85">
        <v>51850</v>
      </c>
      <c r="AH56" s="40"/>
      <c r="AI56" s="40"/>
      <c r="AJ56" s="40"/>
      <c r="AK56" s="40"/>
      <c r="AL56" s="40">
        <v>0</v>
      </c>
      <c r="AN56" s="85">
        <v>51850</v>
      </c>
      <c r="AO56" s="40"/>
      <c r="AP56" s="40"/>
      <c r="AQ56" s="40"/>
      <c r="AR56" s="40">
        <v>0</v>
      </c>
      <c r="AT56" s="85">
        <v>51850</v>
      </c>
      <c r="AU56" s="40"/>
      <c r="AV56" s="87">
        <v>0</v>
      </c>
      <c r="AW56" s="40"/>
      <c r="AX56" s="40">
        <v>0</v>
      </c>
      <c r="AZ56" s="85">
        <v>51850</v>
      </c>
      <c r="BA56" s="40"/>
      <c r="BB56" s="87"/>
      <c r="BC56" s="40"/>
      <c r="BD56" s="40"/>
      <c r="BE56" s="40">
        <f t="shared" si="0"/>
        <v>0</v>
      </c>
      <c r="BF56" s="67"/>
      <c r="BG56" s="85">
        <v>51850</v>
      </c>
      <c r="BI56" s="40"/>
      <c r="BJ56" s="87"/>
      <c r="BL56" s="40">
        <v>0</v>
      </c>
      <c r="BM56" s="67"/>
      <c r="BN56" s="85">
        <v>51850</v>
      </c>
      <c r="BO56" s="40"/>
      <c r="BP56" s="87"/>
      <c r="BQ56" s="40"/>
      <c r="BR56" s="87"/>
      <c r="BS56" s="40"/>
      <c r="BT56" s="87"/>
      <c r="BU56" s="40"/>
      <c r="BV56" s="87"/>
      <c r="BW56" s="40">
        <f t="shared" si="13"/>
        <v>18269725</v>
      </c>
      <c r="BX56" s="40"/>
      <c r="BY56" s="40">
        <f t="shared" si="14"/>
        <v>18269725</v>
      </c>
      <c r="BZ56" s="67"/>
      <c r="CA56" s="85">
        <v>51850</v>
      </c>
      <c r="CB56" s="40"/>
      <c r="CC56" s="87"/>
      <c r="CD56" s="40">
        <f t="shared" si="15"/>
        <v>4176700</v>
      </c>
      <c r="CE56" s="40">
        <f t="shared" si="1"/>
        <v>4176700</v>
      </c>
      <c r="CF56" s="67"/>
      <c r="CG56" s="85">
        <v>51850</v>
      </c>
      <c r="CH56" s="40"/>
      <c r="CI56" s="40"/>
      <c r="CJ56" s="40"/>
      <c r="CK56" s="40"/>
      <c r="CL56" s="40">
        <f t="shared" si="2"/>
        <v>0</v>
      </c>
      <c r="CM56" s="40"/>
      <c r="CN56" s="85">
        <v>51850</v>
      </c>
      <c r="CS56" s="40">
        <f t="shared" si="3"/>
        <v>0</v>
      </c>
      <c r="CT56" s="85"/>
      <c r="CU56" s="85">
        <v>51850</v>
      </c>
      <c r="DA56" s="85">
        <v>51850</v>
      </c>
      <c r="DE56" s="40">
        <v>0</v>
      </c>
      <c r="DG56" s="85">
        <v>51850</v>
      </c>
      <c r="DK56" s="40">
        <v>0</v>
      </c>
      <c r="DM56" s="85">
        <v>51850</v>
      </c>
      <c r="DR56" s="40">
        <f t="shared" si="4"/>
        <v>0</v>
      </c>
      <c r="DT56" s="85">
        <v>51850</v>
      </c>
      <c r="DY56" s="40">
        <f t="shared" si="5"/>
        <v>0</v>
      </c>
      <c r="EA56" s="85">
        <v>51850</v>
      </c>
      <c r="EF56" s="40">
        <f t="shared" si="6"/>
        <v>0</v>
      </c>
      <c r="EH56" s="85">
        <v>51850</v>
      </c>
      <c r="EM56" s="40">
        <f t="shared" si="7"/>
        <v>0</v>
      </c>
    </row>
    <row r="57" spans="2:143" x14ac:dyDescent="0.4">
      <c r="B57" s="85">
        <v>52047</v>
      </c>
      <c r="C57" s="85"/>
      <c r="D57" s="85">
        <v>52032</v>
      </c>
      <c r="E57" s="40">
        <f t="shared" si="8"/>
        <v>0</v>
      </c>
      <c r="F57" s="40">
        <f t="shared" si="9"/>
        <v>22446425</v>
      </c>
      <c r="G57" s="40">
        <f t="shared" si="10"/>
        <v>0</v>
      </c>
      <c r="H57" s="39">
        <v>0</v>
      </c>
      <c r="I57" s="40">
        <f t="shared" si="11"/>
        <v>22446425</v>
      </c>
      <c r="J57" s="40">
        <f>SUM(I56:I57)</f>
        <v>44892850</v>
      </c>
      <c r="L57" s="85">
        <v>52032</v>
      </c>
      <c r="M57" s="40"/>
      <c r="N57" s="40"/>
      <c r="O57" s="40"/>
      <c r="P57" s="40"/>
      <c r="Q57" s="40">
        <f t="shared" si="12"/>
        <v>0</v>
      </c>
      <c r="S57" s="85">
        <v>52032</v>
      </c>
      <c r="T57" s="40"/>
      <c r="U57" s="40"/>
      <c r="V57" s="40"/>
      <c r="W57" s="40"/>
      <c r="X57" s="40">
        <v>0</v>
      </c>
      <c r="Z57" s="85">
        <v>52032</v>
      </c>
      <c r="AA57" s="40"/>
      <c r="AB57" s="40"/>
      <c r="AC57" s="40"/>
      <c r="AD57" s="40"/>
      <c r="AE57" s="40">
        <v>0</v>
      </c>
      <c r="AG57" s="85">
        <v>52032</v>
      </c>
      <c r="AH57" s="40"/>
      <c r="AI57" s="40"/>
      <c r="AJ57" s="40"/>
      <c r="AK57" s="40"/>
      <c r="AL57" s="40">
        <v>0</v>
      </c>
      <c r="AN57" s="85">
        <v>52032</v>
      </c>
      <c r="AO57" s="40"/>
      <c r="AP57" s="40"/>
      <c r="AQ57" s="40"/>
      <c r="AR57" s="40">
        <v>0</v>
      </c>
      <c r="AT57" s="85">
        <v>52032</v>
      </c>
      <c r="AU57" s="40"/>
      <c r="AV57" s="87">
        <v>0</v>
      </c>
      <c r="AW57" s="40"/>
      <c r="AX57" s="40">
        <v>0</v>
      </c>
      <c r="AZ57" s="85">
        <v>52032</v>
      </c>
      <c r="BA57" s="40"/>
      <c r="BB57" s="87"/>
      <c r="BC57" s="40"/>
      <c r="BD57" s="40"/>
      <c r="BE57" s="40">
        <f t="shared" si="0"/>
        <v>0</v>
      </c>
      <c r="BF57" s="67"/>
      <c r="BG57" s="85">
        <v>52032</v>
      </c>
      <c r="BI57" s="40"/>
      <c r="BJ57" s="87"/>
      <c r="BL57" s="40">
        <v>0</v>
      </c>
      <c r="BM57" s="67"/>
      <c r="BN57" s="85">
        <v>52032</v>
      </c>
      <c r="BO57" s="40"/>
      <c r="BP57" s="87"/>
      <c r="BQ57" s="40"/>
      <c r="BR57" s="87"/>
      <c r="BS57" s="40"/>
      <c r="BT57" s="87"/>
      <c r="BU57" s="40"/>
      <c r="BV57" s="87"/>
      <c r="BW57" s="40">
        <f t="shared" si="13"/>
        <v>18269725</v>
      </c>
      <c r="BX57" s="40"/>
      <c r="BY57" s="40">
        <f t="shared" si="14"/>
        <v>18269725</v>
      </c>
      <c r="BZ57" s="67"/>
      <c r="CA57" s="85">
        <v>52032</v>
      </c>
      <c r="CB57" s="40"/>
      <c r="CC57" s="87"/>
      <c r="CD57" s="40">
        <f t="shared" si="15"/>
        <v>4176700</v>
      </c>
      <c r="CE57" s="40">
        <f t="shared" si="1"/>
        <v>4176700</v>
      </c>
      <c r="CF57" s="67"/>
      <c r="CG57" s="85">
        <v>52032</v>
      </c>
      <c r="CH57" s="40"/>
      <c r="CI57" s="40"/>
      <c r="CJ57" s="40"/>
      <c r="CK57" s="40"/>
      <c r="CL57" s="40">
        <f t="shared" si="2"/>
        <v>0</v>
      </c>
      <c r="CM57" s="40"/>
      <c r="CN57" s="85">
        <v>52032</v>
      </c>
      <c r="CS57" s="40">
        <f t="shared" si="3"/>
        <v>0</v>
      </c>
      <c r="CT57" s="85"/>
      <c r="CU57" s="85">
        <v>52032</v>
      </c>
      <c r="DA57" s="85">
        <v>52032</v>
      </c>
      <c r="DE57" s="40">
        <v>0</v>
      </c>
      <c r="DG57" s="85">
        <v>52032</v>
      </c>
      <c r="DK57" s="40">
        <v>0</v>
      </c>
      <c r="DM57" s="85">
        <v>52032</v>
      </c>
      <c r="DR57" s="40">
        <f t="shared" si="4"/>
        <v>0</v>
      </c>
      <c r="DT57" s="85">
        <v>52032</v>
      </c>
      <c r="DY57" s="40">
        <f t="shared" si="5"/>
        <v>0</v>
      </c>
      <c r="EA57" s="85">
        <v>52032</v>
      </c>
      <c r="EF57" s="40">
        <f t="shared" si="6"/>
        <v>0</v>
      </c>
      <c r="EH57" s="85">
        <v>52032</v>
      </c>
      <c r="EM57" s="40">
        <f t="shared" si="7"/>
        <v>0</v>
      </c>
    </row>
    <row r="58" spans="2:143" x14ac:dyDescent="0.4">
      <c r="B58" s="85">
        <v>52231</v>
      </c>
      <c r="C58" s="85"/>
      <c r="D58" s="85">
        <v>52215</v>
      </c>
      <c r="E58" s="40">
        <f t="shared" si="8"/>
        <v>0</v>
      </c>
      <c r="F58" s="40">
        <f t="shared" si="9"/>
        <v>22446425</v>
      </c>
      <c r="G58" s="40">
        <f t="shared" si="10"/>
        <v>0</v>
      </c>
      <c r="H58" s="39">
        <v>0</v>
      </c>
      <c r="I58" s="40">
        <f t="shared" si="11"/>
        <v>22446425</v>
      </c>
      <c r="J58" s="40"/>
      <c r="L58" s="85">
        <v>52215</v>
      </c>
      <c r="M58" s="40"/>
      <c r="N58" s="40"/>
      <c r="O58" s="40"/>
      <c r="P58" s="40"/>
      <c r="Q58" s="40">
        <f t="shared" si="12"/>
        <v>0</v>
      </c>
      <c r="S58" s="85">
        <v>52215</v>
      </c>
      <c r="T58" s="40"/>
      <c r="U58" s="40"/>
      <c r="V58" s="40"/>
      <c r="W58" s="40"/>
      <c r="X58" s="40">
        <v>0</v>
      </c>
      <c r="Z58" s="85">
        <v>52215</v>
      </c>
      <c r="AA58" s="40"/>
      <c r="AB58" s="40"/>
      <c r="AC58" s="40"/>
      <c r="AD58" s="40"/>
      <c r="AE58" s="40">
        <v>0</v>
      </c>
      <c r="AG58" s="85">
        <v>52215</v>
      </c>
      <c r="AH58" s="40"/>
      <c r="AI58" s="40"/>
      <c r="AJ58" s="40"/>
      <c r="AK58" s="40"/>
      <c r="AL58" s="40">
        <v>0</v>
      </c>
      <c r="AN58" s="85">
        <v>52215</v>
      </c>
      <c r="AO58" s="40"/>
      <c r="AP58" s="40"/>
      <c r="AQ58" s="40"/>
      <c r="AR58" s="40">
        <v>0</v>
      </c>
      <c r="AT58" s="85">
        <v>52215</v>
      </c>
      <c r="AU58" s="40"/>
      <c r="AV58" s="87">
        <v>0</v>
      </c>
      <c r="AW58" s="40"/>
      <c r="AX58" s="40">
        <v>0</v>
      </c>
      <c r="AZ58" s="85">
        <v>52215</v>
      </c>
      <c r="BA58" s="40"/>
      <c r="BB58" s="87"/>
      <c r="BC58" s="40"/>
      <c r="BD58" s="40"/>
      <c r="BE58" s="40">
        <f t="shared" si="0"/>
        <v>0</v>
      </c>
      <c r="BF58" s="67"/>
      <c r="BG58" s="85">
        <v>52215</v>
      </c>
      <c r="BI58" s="40"/>
      <c r="BJ58" s="87"/>
      <c r="BL58" s="40">
        <v>0</v>
      </c>
      <c r="BM58" s="67"/>
      <c r="BN58" s="85">
        <v>52215</v>
      </c>
      <c r="BO58" s="40"/>
      <c r="BP58" s="87"/>
      <c r="BQ58" s="40"/>
      <c r="BR58" s="87"/>
      <c r="BS58" s="40"/>
      <c r="BT58" s="87"/>
      <c r="BU58" s="40"/>
      <c r="BV58" s="87"/>
      <c r="BW58" s="40">
        <f t="shared" si="13"/>
        <v>18269725</v>
      </c>
      <c r="BX58" s="40"/>
      <c r="BY58" s="40">
        <f t="shared" si="14"/>
        <v>18269725</v>
      </c>
      <c r="BZ58" s="67"/>
      <c r="CA58" s="85">
        <v>52215</v>
      </c>
      <c r="CB58" s="40"/>
      <c r="CC58" s="87"/>
      <c r="CD58" s="40">
        <f t="shared" si="15"/>
        <v>4176700</v>
      </c>
      <c r="CE58" s="40">
        <f t="shared" si="1"/>
        <v>4176700</v>
      </c>
      <c r="CF58" s="67"/>
      <c r="CG58" s="85">
        <v>52215</v>
      </c>
      <c r="CH58" s="40"/>
      <c r="CI58" s="40"/>
      <c r="CJ58" s="40"/>
      <c r="CK58" s="40"/>
      <c r="CL58" s="40">
        <f t="shared" si="2"/>
        <v>0</v>
      </c>
      <c r="CM58" s="40"/>
      <c r="CN58" s="85">
        <v>52215</v>
      </c>
      <c r="CS58" s="40">
        <f t="shared" si="3"/>
        <v>0</v>
      </c>
      <c r="CT58" s="85"/>
      <c r="CU58" s="85">
        <v>52215</v>
      </c>
      <c r="DA58" s="85">
        <v>52215</v>
      </c>
      <c r="DE58" s="40">
        <v>0</v>
      </c>
      <c r="DG58" s="85">
        <v>52215</v>
      </c>
      <c r="DK58" s="40">
        <v>0</v>
      </c>
      <c r="DM58" s="85">
        <v>52215</v>
      </c>
      <c r="DR58" s="40">
        <f t="shared" si="4"/>
        <v>0</v>
      </c>
      <c r="DT58" s="85">
        <v>52215</v>
      </c>
      <c r="DY58" s="40">
        <f t="shared" si="5"/>
        <v>0</v>
      </c>
      <c r="EA58" s="85">
        <v>52215</v>
      </c>
      <c r="EF58" s="40">
        <f t="shared" si="6"/>
        <v>0</v>
      </c>
      <c r="EH58" s="85">
        <v>52215</v>
      </c>
      <c r="EM58" s="40">
        <f t="shared" si="7"/>
        <v>0</v>
      </c>
    </row>
    <row r="59" spans="2:143" x14ac:dyDescent="0.4">
      <c r="B59" s="85">
        <v>52412</v>
      </c>
      <c r="C59" s="85"/>
      <c r="D59" s="85">
        <v>52397</v>
      </c>
      <c r="E59" s="40">
        <f t="shared" si="8"/>
        <v>0</v>
      </c>
      <c r="F59" s="40">
        <f t="shared" si="9"/>
        <v>22446425</v>
      </c>
      <c r="G59" s="40">
        <f t="shared" si="10"/>
        <v>0</v>
      </c>
      <c r="H59" s="39">
        <v>0</v>
      </c>
      <c r="I59" s="40">
        <f t="shared" si="11"/>
        <v>22446425</v>
      </c>
      <c r="J59" s="40">
        <f>SUM(I58:I59)</f>
        <v>44892850</v>
      </c>
      <c r="L59" s="85">
        <v>52397</v>
      </c>
      <c r="M59" s="40"/>
      <c r="N59" s="40"/>
      <c r="O59" s="40"/>
      <c r="P59" s="40"/>
      <c r="Q59" s="40">
        <f t="shared" si="12"/>
        <v>0</v>
      </c>
      <c r="S59" s="85">
        <v>52397</v>
      </c>
      <c r="T59" s="40"/>
      <c r="U59" s="40"/>
      <c r="V59" s="40"/>
      <c r="W59" s="40"/>
      <c r="X59" s="40">
        <v>0</v>
      </c>
      <c r="Z59" s="85">
        <v>52397</v>
      </c>
      <c r="AA59" s="40"/>
      <c r="AB59" s="40"/>
      <c r="AC59" s="40"/>
      <c r="AD59" s="40"/>
      <c r="AE59" s="40">
        <v>0</v>
      </c>
      <c r="AG59" s="85">
        <v>52397</v>
      </c>
      <c r="AH59" s="40"/>
      <c r="AI59" s="40"/>
      <c r="AJ59" s="40"/>
      <c r="AK59" s="40"/>
      <c r="AL59" s="40">
        <v>0</v>
      </c>
      <c r="AN59" s="85">
        <v>52397</v>
      </c>
      <c r="AO59" s="40"/>
      <c r="AP59" s="40"/>
      <c r="AQ59" s="40"/>
      <c r="AR59" s="40">
        <v>0</v>
      </c>
      <c r="AT59" s="85">
        <v>52397</v>
      </c>
      <c r="AU59" s="40"/>
      <c r="AV59" s="87">
        <v>0</v>
      </c>
      <c r="AW59" s="40"/>
      <c r="AX59" s="40">
        <v>0</v>
      </c>
      <c r="AZ59" s="85">
        <v>52397</v>
      </c>
      <c r="BA59" s="40"/>
      <c r="BB59" s="87"/>
      <c r="BC59" s="40"/>
      <c r="BD59" s="40"/>
      <c r="BE59" s="40">
        <f t="shared" si="0"/>
        <v>0</v>
      </c>
      <c r="BF59" s="67"/>
      <c r="BG59" s="85">
        <v>52397</v>
      </c>
      <c r="BI59" s="40"/>
      <c r="BJ59" s="87"/>
      <c r="BL59" s="40">
        <v>0</v>
      </c>
      <c r="BM59" s="67"/>
      <c r="BN59" s="85">
        <v>52397</v>
      </c>
      <c r="BO59" s="40"/>
      <c r="BP59" s="87"/>
      <c r="BQ59" s="40"/>
      <c r="BR59" s="87"/>
      <c r="BS59" s="40"/>
      <c r="BT59" s="87"/>
      <c r="BU59" s="40"/>
      <c r="BV59" s="87"/>
      <c r="BW59" s="40">
        <f t="shared" si="13"/>
        <v>18269725</v>
      </c>
      <c r="BX59" s="40"/>
      <c r="BY59" s="40">
        <f t="shared" si="14"/>
        <v>18269725</v>
      </c>
      <c r="BZ59" s="67"/>
      <c r="CA59" s="85">
        <v>52397</v>
      </c>
      <c r="CB59" s="40"/>
      <c r="CC59" s="87"/>
      <c r="CD59" s="40">
        <f t="shared" si="15"/>
        <v>4176700</v>
      </c>
      <c r="CE59" s="40">
        <f t="shared" si="1"/>
        <v>4176700</v>
      </c>
      <c r="CF59" s="67"/>
      <c r="CG59" s="85">
        <v>52397</v>
      </c>
      <c r="CH59" s="40"/>
      <c r="CI59" s="40"/>
      <c r="CJ59" s="40"/>
      <c r="CK59" s="40"/>
      <c r="CL59" s="40">
        <f t="shared" si="2"/>
        <v>0</v>
      </c>
      <c r="CM59" s="40"/>
      <c r="CN59" s="85">
        <v>52397</v>
      </c>
      <c r="CS59" s="40">
        <f t="shared" si="3"/>
        <v>0</v>
      </c>
      <c r="CT59" s="85"/>
      <c r="CU59" s="85">
        <v>52397</v>
      </c>
      <c r="DA59" s="85">
        <v>52397</v>
      </c>
      <c r="DE59" s="40">
        <v>0</v>
      </c>
      <c r="DG59" s="85">
        <v>52397</v>
      </c>
      <c r="DK59" s="40">
        <v>0</v>
      </c>
      <c r="DM59" s="85">
        <v>52397</v>
      </c>
      <c r="DR59" s="40">
        <f t="shared" si="4"/>
        <v>0</v>
      </c>
      <c r="DT59" s="85">
        <v>52397</v>
      </c>
      <c r="DY59" s="40">
        <f t="shared" si="5"/>
        <v>0</v>
      </c>
      <c r="EA59" s="85">
        <v>52397</v>
      </c>
      <c r="EF59" s="40">
        <f t="shared" si="6"/>
        <v>0</v>
      </c>
      <c r="EH59" s="85">
        <v>52397</v>
      </c>
      <c r="EM59" s="40">
        <f t="shared" si="7"/>
        <v>0</v>
      </c>
    </row>
    <row r="60" spans="2:143" x14ac:dyDescent="0.4">
      <c r="B60" s="85">
        <v>52596</v>
      </c>
      <c r="C60" s="85"/>
      <c r="D60" s="85">
        <v>52580</v>
      </c>
      <c r="E60" s="40">
        <f t="shared" si="8"/>
        <v>0</v>
      </c>
      <c r="F60" s="40">
        <f t="shared" si="9"/>
        <v>22446425</v>
      </c>
      <c r="G60" s="40">
        <f t="shared" si="10"/>
        <v>0</v>
      </c>
      <c r="H60" s="39">
        <v>0</v>
      </c>
      <c r="I60" s="40">
        <f t="shared" si="11"/>
        <v>22446425</v>
      </c>
      <c r="J60" s="40"/>
      <c r="L60" s="85">
        <v>52580</v>
      </c>
      <c r="M60" s="40"/>
      <c r="N60" s="40"/>
      <c r="O60" s="40"/>
      <c r="P60" s="40"/>
      <c r="Q60" s="40">
        <f t="shared" si="12"/>
        <v>0</v>
      </c>
      <c r="S60" s="85">
        <v>52580</v>
      </c>
      <c r="T60" s="40"/>
      <c r="U60" s="40"/>
      <c r="V60" s="40"/>
      <c r="W60" s="40"/>
      <c r="X60" s="40">
        <v>0</v>
      </c>
      <c r="Z60" s="85">
        <v>52580</v>
      </c>
      <c r="AA60" s="40"/>
      <c r="AB60" s="40"/>
      <c r="AC60" s="40"/>
      <c r="AD60" s="40"/>
      <c r="AE60" s="40">
        <v>0</v>
      </c>
      <c r="AG60" s="85">
        <v>52580</v>
      </c>
      <c r="AH60" s="40"/>
      <c r="AI60" s="40"/>
      <c r="AJ60" s="40"/>
      <c r="AK60" s="40"/>
      <c r="AL60" s="40">
        <v>0</v>
      </c>
      <c r="AN60" s="85">
        <v>52580</v>
      </c>
      <c r="AO60" s="40"/>
      <c r="AP60" s="40"/>
      <c r="AQ60" s="40"/>
      <c r="AR60" s="40">
        <v>0</v>
      </c>
      <c r="AT60" s="85">
        <v>52580</v>
      </c>
      <c r="AU60" s="40"/>
      <c r="AV60" s="87">
        <v>0</v>
      </c>
      <c r="AW60" s="40"/>
      <c r="AX60" s="40">
        <v>0</v>
      </c>
      <c r="AZ60" s="85">
        <v>52580</v>
      </c>
      <c r="BA60" s="40"/>
      <c r="BB60" s="87"/>
      <c r="BC60" s="40"/>
      <c r="BD60" s="40"/>
      <c r="BE60" s="40">
        <f t="shared" si="0"/>
        <v>0</v>
      </c>
      <c r="BF60" s="67"/>
      <c r="BG60" s="85">
        <v>52580</v>
      </c>
      <c r="BI60" s="40"/>
      <c r="BJ60" s="87"/>
      <c r="BL60" s="40">
        <v>0</v>
      </c>
      <c r="BM60" s="67"/>
      <c r="BN60" s="85">
        <v>52580</v>
      </c>
      <c r="BO60" s="40"/>
      <c r="BP60" s="87"/>
      <c r="BQ60" s="40"/>
      <c r="BR60" s="87"/>
      <c r="BS60" s="40"/>
      <c r="BT60" s="87"/>
      <c r="BU60" s="40"/>
      <c r="BV60" s="87"/>
      <c r="BW60" s="40">
        <f t="shared" si="13"/>
        <v>18269725</v>
      </c>
      <c r="BX60" s="40"/>
      <c r="BY60" s="40">
        <f t="shared" si="14"/>
        <v>18269725</v>
      </c>
      <c r="BZ60" s="67"/>
      <c r="CA60" s="85">
        <v>52580</v>
      </c>
      <c r="CB60" s="40"/>
      <c r="CC60" s="87"/>
      <c r="CD60" s="40">
        <f t="shared" si="15"/>
        <v>4176700</v>
      </c>
      <c r="CE60" s="40">
        <f t="shared" si="1"/>
        <v>4176700</v>
      </c>
      <c r="CF60" s="67"/>
      <c r="CG60" s="85">
        <v>52580</v>
      </c>
      <c r="CH60" s="40"/>
      <c r="CI60" s="40"/>
      <c r="CJ60" s="40"/>
      <c r="CK60" s="40"/>
      <c r="CL60" s="40">
        <f t="shared" si="2"/>
        <v>0</v>
      </c>
      <c r="CM60" s="40"/>
      <c r="CN60" s="85">
        <v>52580</v>
      </c>
      <c r="CS60" s="40">
        <f t="shared" si="3"/>
        <v>0</v>
      </c>
      <c r="CT60" s="85"/>
      <c r="CU60" s="85">
        <v>52580</v>
      </c>
      <c r="DA60" s="85">
        <v>52580</v>
      </c>
      <c r="DE60" s="40">
        <v>0</v>
      </c>
      <c r="DG60" s="85">
        <v>52580</v>
      </c>
      <c r="DK60" s="40">
        <v>0</v>
      </c>
      <c r="DM60" s="85">
        <v>52580</v>
      </c>
      <c r="DR60" s="40">
        <f t="shared" si="4"/>
        <v>0</v>
      </c>
      <c r="DT60" s="85">
        <v>52580</v>
      </c>
      <c r="DY60" s="40">
        <f t="shared" si="5"/>
        <v>0</v>
      </c>
      <c r="EA60" s="85">
        <v>52580</v>
      </c>
      <c r="EF60" s="40">
        <f t="shared" si="6"/>
        <v>0</v>
      </c>
      <c r="EH60" s="85">
        <v>52580</v>
      </c>
      <c r="EM60" s="40">
        <f t="shared" si="7"/>
        <v>0</v>
      </c>
    </row>
    <row r="61" spans="2:143" x14ac:dyDescent="0.4">
      <c r="B61" s="85">
        <v>52778</v>
      </c>
      <c r="C61" s="85"/>
      <c r="D61" s="85">
        <v>52763</v>
      </c>
      <c r="E61" s="40">
        <f t="shared" si="8"/>
        <v>0</v>
      </c>
      <c r="F61" s="40">
        <f t="shared" si="9"/>
        <v>22446425</v>
      </c>
      <c r="G61" s="40">
        <f t="shared" si="10"/>
        <v>0</v>
      </c>
      <c r="H61" s="39">
        <v>0</v>
      </c>
      <c r="I61" s="40">
        <f t="shared" si="11"/>
        <v>22446425</v>
      </c>
      <c r="J61" s="40">
        <f>SUM(I60:I61)</f>
        <v>44892850</v>
      </c>
      <c r="L61" s="85">
        <v>52763</v>
      </c>
      <c r="M61" s="40"/>
      <c r="N61" s="40"/>
      <c r="O61" s="40"/>
      <c r="P61" s="40"/>
      <c r="Q61" s="40">
        <f t="shared" si="12"/>
        <v>0</v>
      </c>
      <c r="S61" s="85">
        <v>52763</v>
      </c>
      <c r="T61" s="40"/>
      <c r="U61" s="40"/>
      <c r="V61" s="40"/>
      <c r="W61" s="40"/>
      <c r="X61" s="40">
        <v>0</v>
      </c>
      <c r="Z61" s="85">
        <v>52763</v>
      </c>
      <c r="AA61" s="40"/>
      <c r="AB61" s="40"/>
      <c r="AC61" s="40"/>
      <c r="AD61" s="40"/>
      <c r="AE61" s="40">
        <v>0</v>
      </c>
      <c r="AG61" s="85">
        <v>52763</v>
      </c>
      <c r="AH61" s="40"/>
      <c r="AI61" s="40"/>
      <c r="AJ61" s="40"/>
      <c r="AK61" s="40"/>
      <c r="AL61" s="40">
        <v>0</v>
      </c>
      <c r="AN61" s="85">
        <v>52763</v>
      </c>
      <c r="AO61" s="40"/>
      <c r="AP61" s="40"/>
      <c r="AQ61" s="40"/>
      <c r="AR61" s="40">
        <v>0</v>
      </c>
      <c r="AT61" s="85">
        <v>52763</v>
      </c>
      <c r="AU61" s="40"/>
      <c r="AV61" s="87">
        <v>0</v>
      </c>
      <c r="AW61" s="40"/>
      <c r="AX61" s="40">
        <v>0</v>
      </c>
      <c r="AZ61" s="85">
        <v>52763</v>
      </c>
      <c r="BA61" s="40"/>
      <c r="BB61" s="87"/>
      <c r="BC61" s="40"/>
      <c r="BD61" s="40"/>
      <c r="BE61" s="40">
        <f t="shared" si="0"/>
        <v>0</v>
      </c>
      <c r="BF61" s="67"/>
      <c r="BG61" s="85">
        <v>52763</v>
      </c>
      <c r="BI61" s="40"/>
      <c r="BJ61" s="87"/>
      <c r="BL61" s="40">
        <v>0</v>
      </c>
      <c r="BM61" s="67"/>
      <c r="BN61" s="85">
        <v>52763</v>
      </c>
      <c r="BO61" s="40"/>
      <c r="BP61" s="87"/>
      <c r="BQ61" s="40"/>
      <c r="BR61" s="87"/>
      <c r="BS61" s="40"/>
      <c r="BT61" s="87"/>
      <c r="BU61" s="40"/>
      <c r="BV61" s="87"/>
      <c r="BW61" s="40">
        <f t="shared" si="13"/>
        <v>18269725</v>
      </c>
      <c r="BX61" s="40"/>
      <c r="BY61" s="40">
        <f t="shared" si="14"/>
        <v>18269725</v>
      </c>
      <c r="BZ61" s="67"/>
      <c r="CA61" s="85">
        <v>52763</v>
      </c>
      <c r="CB61" s="40"/>
      <c r="CC61" s="87"/>
      <c r="CD61" s="40">
        <f t="shared" si="15"/>
        <v>4176700</v>
      </c>
      <c r="CE61" s="40">
        <f t="shared" si="1"/>
        <v>4176700</v>
      </c>
      <c r="CF61" s="67"/>
      <c r="CG61" s="85">
        <v>52763</v>
      </c>
      <c r="CH61" s="40"/>
      <c r="CI61" s="40"/>
      <c r="CJ61" s="40"/>
      <c r="CK61" s="40"/>
      <c r="CL61" s="40">
        <f t="shared" si="2"/>
        <v>0</v>
      </c>
      <c r="CM61" s="40"/>
      <c r="CN61" s="85">
        <v>52763</v>
      </c>
      <c r="CS61" s="40">
        <f t="shared" si="3"/>
        <v>0</v>
      </c>
      <c r="CT61" s="85"/>
      <c r="CU61" s="85">
        <v>52763</v>
      </c>
      <c r="DA61" s="85">
        <v>52763</v>
      </c>
      <c r="DE61" s="40">
        <v>0</v>
      </c>
      <c r="DG61" s="85">
        <v>52763</v>
      </c>
      <c r="DK61" s="40">
        <v>0</v>
      </c>
      <c r="DM61" s="85">
        <v>52763</v>
      </c>
      <c r="DR61" s="40">
        <f t="shared" si="4"/>
        <v>0</v>
      </c>
      <c r="DT61" s="85">
        <v>52763</v>
      </c>
      <c r="DY61" s="40">
        <f t="shared" si="5"/>
        <v>0</v>
      </c>
      <c r="EA61" s="85">
        <v>52763</v>
      </c>
      <c r="EF61" s="40">
        <f t="shared" si="6"/>
        <v>0</v>
      </c>
      <c r="EH61" s="85">
        <v>52763</v>
      </c>
      <c r="EM61" s="40">
        <f t="shared" si="7"/>
        <v>0</v>
      </c>
    </row>
    <row r="62" spans="2:143" x14ac:dyDescent="0.4">
      <c r="B62" s="85">
        <v>52962</v>
      </c>
      <c r="C62" s="85"/>
      <c r="D62" s="85">
        <v>52946</v>
      </c>
      <c r="E62" s="40">
        <f t="shared" si="8"/>
        <v>0</v>
      </c>
      <c r="F62" s="40">
        <f t="shared" si="9"/>
        <v>22446425</v>
      </c>
      <c r="G62" s="40">
        <f t="shared" si="10"/>
        <v>0</v>
      </c>
      <c r="H62" s="39">
        <v>0</v>
      </c>
      <c r="I62" s="40">
        <f t="shared" si="11"/>
        <v>22446425</v>
      </c>
      <c r="J62" s="40"/>
      <c r="L62" s="85">
        <v>52946</v>
      </c>
      <c r="M62" s="40"/>
      <c r="N62" s="40"/>
      <c r="O62" s="40"/>
      <c r="P62" s="40"/>
      <c r="Q62" s="40">
        <f t="shared" si="12"/>
        <v>0</v>
      </c>
      <c r="S62" s="85">
        <v>52946</v>
      </c>
      <c r="T62" s="40"/>
      <c r="U62" s="40"/>
      <c r="V62" s="40"/>
      <c r="W62" s="40"/>
      <c r="X62" s="40">
        <v>0</v>
      </c>
      <c r="Z62" s="85">
        <v>52946</v>
      </c>
      <c r="AA62" s="40"/>
      <c r="AB62" s="40"/>
      <c r="AC62" s="40"/>
      <c r="AD62" s="40"/>
      <c r="AE62" s="40">
        <v>0</v>
      </c>
      <c r="AG62" s="85">
        <v>52946</v>
      </c>
      <c r="AH62" s="40"/>
      <c r="AI62" s="40"/>
      <c r="AJ62" s="40"/>
      <c r="AK62" s="40"/>
      <c r="AL62" s="40">
        <v>0</v>
      </c>
      <c r="AN62" s="85">
        <v>52946</v>
      </c>
      <c r="AO62" s="40"/>
      <c r="AP62" s="40"/>
      <c r="AQ62" s="40"/>
      <c r="AR62" s="40">
        <v>0</v>
      </c>
      <c r="AT62" s="85">
        <v>52946</v>
      </c>
      <c r="AU62" s="40"/>
      <c r="AV62" s="87">
        <v>0</v>
      </c>
      <c r="AW62" s="40"/>
      <c r="AX62" s="40">
        <v>0</v>
      </c>
      <c r="AZ62" s="85">
        <v>52946</v>
      </c>
      <c r="BA62" s="40"/>
      <c r="BB62" s="87"/>
      <c r="BC62" s="40"/>
      <c r="BD62" s="40"/>
      <c r="BE62" s="40">
        <f t="shared" si="0"/>
        <v>0</v>
      </c>
      <c r="BF62" s="67"/>
      <c r="BG62" s="85">
        <v>52946</v>
      </c>
      <c r="BI62" s="40"/>
      <c r="BJ62" s="87"/>
      <c r="BL62" s="40">
        <v>0</v>
      </c>
      <c r="BM62" s="67"/>
      <c r="BN62" s="85">
        <v>52946</v>
      </c>
      <c r="BO62" s="40"/>
      <c r="BP62" s="87"/>
      <c r="BQ62" s="40"/>
      <c r="BR62" s="87"/>
      <c r="BS62" s="40"/>
      <c r="BT62" s="87"/>
      <c r="BU62" s="40"/>
      <c r="BV62" s="87"/>
      <c r="BW62" s="40">
        <f t="shared" si="13"/>
        <v>18269725</v>
      </c>
      <c r="BX62" s="40"/>
      <c r="BY62" s="40">
        <f t="shared" si="14"/>
        <v>18269725</v>
      </c>
      <c r="BZ62" s="67"/>
      <c r="CA62" s="85">
        <v>52946</v>
      </c>
      <c r="CB62" s="40"/>
      <c r="CC62" s="87"/>
      <c r="CD62" s="40">
        <f t="shared" si="15"/>
        <v>4176700</v>
      </c>
      <c r="CE62" s="40">
        <f t="shared" si="1"/>
        <v>4176700</v>
      </c>
      <c r="CF62" s="67"/>
      <c r="CG62" s="85">
        <v>52946</v>
      </c>
      <c r="CH62" s="40"/>
      <c r="CI62" s="40"/>
      <c r="CJ62" s="40"/>
      <c r="CK62" s="40"/>
      <c r="CL62" s="40">
        <f t="shared" si="2"/>
        <v>0</v>
      </c>
      <c r="CM62" s="40"/>
      <c r="CN62" s="85">
        <v>52946</v>
      </c>
      <c r="CS62" s="40">
        <f t="shared" si="3"/>
        <v>0</v>
      </c>
      <c r="CT62" s="85"/>
      <c r="CU62" s="85">
        <v>52946</v>
      </c>
      <c r="DA62" s="85">
        <v>52946</v>
      </c>
      <c r="DE62" s="40">
        <v>0</v>
      </c>
      <c r="DG62" s="85">
        <v>52946</v>
      </c>
      <c r="DK62" s="40">
        <v>0</v>
      </c>
      <c r="DM62" s="85">
        <v>52946</v>
      </c>
      <c r="DR62" s="40">
        <f t="shared" si="4"/>
        <v>0</v>
      </c>
      <c r="DT62" s="85">
        <v>52946</v>
      </c>
      <c r="DY62" s="40">
        <f t="shared" si="5"/>
        <v>0</v>
      </c>
      <c r="EA62" s="85">
        <v>52946</v>
      </c>
      <c r="EF62" s="40">
        <f t="shared" si="6"/>
        <v>0</v>
      </c>
      <c r="EH62" s="85">
        <v>52946</v>
      </c>
      <c r="EM62" s="40">
        <f t="shared" si="7"/>
        <v>0</v>
      </c>
    </row>
    <row r="63" spans="2:143" x14ac:dyDescent="0.4">
      <c r="B63" s="85">
        <v>53143</v>
      </c>
      <c r="C63" s="85"/>
      <c r="D63" s="85">
        <v>53128</v>
      </c>
      <c r="E63" s="40">
        <f t="shared" si="8"/>
        <v>0</v>
      </c>
      <c r="F63" s="40">
        <f t="shared" si="9"/>
        <v>22446425</v>
      </c>
      <c r="G63" s="40">
        <f t="shared" si="10"/>
        <v>0</v>
      </c>
      <c r="H63" s="39">
        <v>0</v>
      </c>
      <c r="I63" s="40">
        <f t="shared" si="11"/>
        <v>22446425</v>
      </c>
      <c r="J63" s="40">
        <f>SUM(I62:I63)</f>
        <v>44892850</v>
      </c>
      <c r="L63" s="85">
        <v>53128</v>
      </c>
      <c r="M63" s="40"/>
      <c r="N63" s="40"/>
      <c r="O63" s="40"/>
      <c r="P63" s="40"/>
      <c r="Q63" s="40">
        <f t="shared" si="12"/>
        <v>0</v>
      </c>
      <c r="S63" s="85">
        <v>53128</v>
      </c>
      <c r="T63" s="40"/>
      <c r="U63" s="40"/>
      <c r="V63" s="40"/>
      <c r="W63" s="40"/>
      <c r="X63" s="40">
        <v>0</v>
      </c>
      <c r="Z63" s="85">
        <v>53128</v>
      </c>
      <c r="AA63" s="40"/>
      <c r="AB63" s="40"/>
      <c r="AC63" s="40"/>
      <c r="AD63" s="40"/>
      <c r="AE63" s="40">
        <v>0</v>
      </c>
      <c r="AG63" s="85">
        <v>53128</v>
      </c>
      <c r="AH63" s="40"/>
      <c r="AI63" s="40"/>
      <c r="AJ63" s="40"/>
      <c r="AK63" s="40"/>
      <c r="AL63" s="40">
        <v>0</v>
      </c>
      <c r="AN63" s="85">
        <v>53128</v>
      </c>
      <c r="AO63" s="40"/>
      <c r="AP63" s="40"/>
      <c r="AQ63" s="40"/>
      <c r="AR63" s="40">
        <v>0</v>
      </c>
      <c r="AT63" s="85">
        <v>53128</v>
      </c>
      <c r="AU63" s="40"/>
      <c r="AV63" s="87">
        <v>0</v>
      </c>
      <c r="AW63" s="40"/>
      <c r="AX63" s="40">
        <v>0</v>
      </c>
      <c r="AZ63" s="85">
        <v>53128</v>
      </c>
      <c r="BA63" s="40"/>
      <c r="BB63" s="87"/>
      <c r="BC63" s="40"/>
      <c r="BD63" s="40"/>
      <c r="BE63" s="40">
        <f t="shared" si="0"/>
        <v>0</v>
      </c>
      <c r="BF63" s="67"/>
      <c r="BG63" s="85">
        <v>53128</v>
      </c>
      <c r="BI63" s="40"/>
      <c r="BJ63" s="87"/>
      <c r="BL63" s="40">
        <v>0</v>
      </c>
      <c r="BM63" s="67"/>
      <c r="BN63" s="85">
        <v>53128</v>
      </c>
      <c r="BO63" s="40"/>
      <c r="BP63" s="87"/>
      <c r="BQ63" s="40"/>
      <c r="BR63" s="87"/>
      <c r="BS63" s="40"/>
      <c r="BT63" s="87"/>
      <c r="BU63" s="40"/>
      <c r="BV63" s="87"/>
      <c r="BW63" s="40">
        <f t="shared" si="13"/>
        <v>18269725</v>
      </c>
      <c r="BX63" s="40"/>
      <c r="BY63" s="40">
        <f t="shared" si="14"/>
        <v>18269725</v>
      </c>
      <c r="BZ63" s="67"/>
      <c r="CA63" s="85">
        <v>53128</v>
      </c>
      <c r="CB63" s="40"/>
      <c r="CC63" s="87"/>
      <c r="CD63" s="40">
        <f t="shared" si="15"/>
        <v>4176700</v>
      </c>
      <c r="CE63" s="40">
        <f t="shared" si="1"/>
        <v>4176700</v>
      </c>
      <c r="CF63" s="67"/>
      <c r="CG63" s="85">
        <v>53128</v>
      </c>
      <c r="CH63" s="40"/>
      <c r="CI63" s="40"/>
      <c r="CJ63" s="40"/>
      <c r="CK63" s="40"/>
      <c r="CL63" s="40">
        <f t="shared" si="2"/>
        <v>0</v>
      </c>
      <c r="CM63" s="40"/>
      <c r="CN63" s="85">
        <v>53128</v>
      </c>
      <c r="CS63" s="40">
        <f t="shared" si="3"/>
        <v>0</v>
      </c>
      <c r="CT63" s="85"/>
      <c r="CU63" s="85">
        <v>53128</v>
      </c>
      <c r="DA63" s="85">
        <v>53128</v>
      </c>
      <c r="DE63" s="40">
        <v>0</v>
      </c>
      <c r="DG63" s="85">
        <v>53128</v>
      </c>
      <c r="DK63" s="40">
        <v>0</v>
      </c>
      <c r="DM63" s="85">
        <v>53128</v>
      </c>
      <c r="DR63" s="40">
        <f t="shared" si="4"/>
        <v>0</v>
      </c>
      <c r="DT63" s="85">
        <v>53128</v>
      </c>
      <c r="DY63" s="40">
        <f t="shared" si="5"/>
        <v>0</v>
      </c>
      <c r="EA63" s="85">
        <v>53128</v>
      </c>
      <c r="EF63" s="40">
        <f t="shared" si="6"/>
        <v>0</v>
      </c>
      <c r="EH63" s="85">
        <v>53128</v>
      </c>
      <c r="EM63" s="40">
        <f t="shared" si="7"/>
        <v>0</v>
      </c>
    </row>
    <row r="64" spans="2:143" x14ac:dyDescent="0.4">
      <c r="B64" s="85">
        <v>53327</v>
      </c>
      <c r="C64" s="85"/>
      <c r="D64" s="85">
        <v>53311</v>
      </c>
      <c r="E64" s="40">
        <f t="shared" si="8"/>
        <v>0</v>
      </c>
      <c r="F64" s="40">
        <f t="shared" si="9"/>
        <v>22446425</v>
      </c>
      <c r="G64" s="40">
        <f t="shared" si="10"/>
        <v>0</v>
      </c>
      <c r="H64" s="39">
        <v>0</v>
      </c>
      <c r="I64" s="40">
        <f t="shared" si="11"/>
        <v>22446425</v>
      </c>
      <c r="J64" s="40"/>
      <c r="L64" s="85">
        <v>53311</v>
      </c>
      <c r="M64" s="40"/>
      <c r="N64" s="40"/>
      <c r="O64" s="40"/>
      <c r="P64" s="40"/>
      <c r="Q64" s="40">
        <f t="shared" si="12"/>
        <v>0</v>
      </c>
      <c r="S64" s="85">
        <v>53311</v>
      </c>
      <c r="T64" s="40"/>
      <c r="U64" s="40"/>
      <c r="V64" s="40"/>
      <c r="W64" s="40"/>
      <c r="X64" s="40">
        <v>0</v>
      </c>
      <c r="Z64" s="85">
        <v>53311</v>
      </c>
      <c r="AA64" s="40"/>
      <c r="AB64" s="40"/>
      <c r="AC64" s="40"/>
      <c r="AD64" s="40"/>
      <c r="AE64" s="40">
        <v>0</v>
      </c>
      <c r="AG64" s="85">
        <v>53311</v>
      </c>
      <c r="AH64" s="40"/>
      <c r="AI64" s="40"/>
      <c r="AJ64" s="40"/>
      <c r="AK64" s="40"/>
      <c r="AL64" s="40">
        <v>0</v>
      </c>
      <c r="AN64" s="85">
        <v>53311</v>
      </c>
      <c r="AO64" s="40"/>
      <c r="AP64" s="40"/>
      <c r="AQ64" s="40"/>
      <c r="AR64" s="40">
        <v>0</v>
      </c>
      <c r="AT64" s="85">
        <v>53311</v>
      </c>
      <c r="AU64" s="40"/>
      <c r="AV64" s="87">
        <v>0</v>
      </c>
      <c r="AW64" s="40"/>
      <c r="AX64" s="40">
        <v>0</v>
      </c>
      <c r="AZ64" s="85">
        <v>53311</v>
      </c>
      <c r="BA64" s="40"/>
      <c r="BB64" s="87"/>
      <c r="BC64" s="40"/>
      <c r="BD64" s="40"/>
      <c r="BE64" s="40">
        <f t="shared" si="0"/>
        <v>0</v>
      </c>
      <c r="BF64" s="67"/>
      <c r="BG64" s="85">
        <v>53311</v>
      </c>
      <c r="BI64" s="40"/>
      <c r="BJ64" s="87"/>
      <c r="BL64" s="40">
        <v>0</v>
      </c>
      <c r="BM64" s="67"/>
      <c r="BN64" s="85">
        <v>53311</v>
      </c>
      <c r="BO64" s="40"/>
      <c r="BP64" s="87"/>
      <c r="BQ64" s="40"/>
      <c r="BR64" s="87"/>
      <c r="BS64" s="40"/>
      <c r="BT64" s="87"/>
      <c r="BU64" s="40"/>
      <c r="BV64" s="87"/>
      <c r="BW64" s="40">
        <f t="shared" ref="BW64:BW73" si="17">(BO64*BP64/2)+(BQ64*BR64/2)+(BS64*BT64/2)+(BU64*BV64/2)+BW65</f>
        <v>18269725</v>
      </c>
      <c r="BX64" s="40"/>
      <c r="BY64" s="40">
        <f t="shared" si="14"/>
        <v>18269725</v>
      </c>
      <c r="BZ64" s="67"/>
      <c r="CA64" s="85">
        <v>53311</v>
      </c>
      <c r="CB64" s="40"/>
      <c r="CC64" s="87"/>
      <c r="CD64" s="40">
        <f t="shared" si="15"/>
        <v>4176700</v>
      </c>
      <c r="CE64" s="40">
        <f t="shared" si="1"/>
        <v>4176700</v>
      </c>
      <c r="CF64" s="67"/>
      <c r="CG64" s="85">
        <v>53311</v>
      </c>
      <c r="CH64" s="40"/>
      <c r="CI64" s="40"/>
      <c r="CJ64" s="40"/>
      <c r="CK64" s="40"/>
      <c r="CL64" s="40">
        <f t="shared" si="2"/>
        <v>0</v>
      </c>
      <c r="CM64" s="40"/>
      <c r="CN64" s="85">
        <v>53311</v>
      </c>
      <c r="CS64" s="40">
        <f t="shared" si="3"/>
        <v>0</v>
      </c>
      <c r="CT64" s="85"/>
      <c r="CU64" s="85">
        <v>53311</v>
      </c>
      <c r="DA64" s="85">
        <v>53311</v>
      </c>
      <c r="DE64" s="40">
        <v>0</v>
      </c>
      <c r="DG64" s="85">
        <v>53311</v>
      </c>
      <c r="DK64" s="40">
        <v>0</v>
      </c>
      <c r="DM64" s="85">
        <v>53311</v>
      </c>
      <c r="DR64" s="40">
        <f t="shared" si="4"/>
        <v>0</v>
      </c>
      <c r="DT64" s="85">
        <v>53311</v>
      </c>
      <c r="DY64" s="40">
        <f t="shared" si="5"/>
        <v>0</v>
      </c>
      <c r="EA64" s="85">
        <v>53311</v>
      </c>
      <c r="EF64" s="40">
        <f t="shared" si="6"/>
        <v>0</v>
      </c>
      <c r="EH64" s="85">
        <v>53311</v>
      </c>
      <c r="EM64" s="40">
        <f t="shared" si="7"/>
        <v>0</v>
      </c>
    </row>
    <row r="65" spans="2:143" x14ac:dyDescent="0.4">
      <c r="B65" s="85">
        <v>53508</v>
      </c>
      <c r="C65" s="85"/>
      <c r="D65" s="85">
        <v>53493</v>
      </c>
      <c r="E65" s="40">
        <f t="shared" si="8"/>
        <v>0</v>
      </c>
      <c r="F65" s="40">
        <f t="shared" si="9"/>
        <v>22446425</v>
      </c>
      <c r="G65" s="40">
        <f t="shared" si="10"/>
        <v>0</v>
      </c>
      <c r="H65" s="39">
        <v>0</v>
      </c>
      <c r="I65" s="40">
        <f t="shared" si="11"/>
        <v>22446425</v>
      </c>
      <c r="J65" s="40">
        <f>SUM(I64:I65)</f>
        <v>44892850</v>
      </c>
      <c r="L65" s="85">
        <v>53493</v>
      </c>
      <c r="M65" s="40"/>
      <c r="N65" s="40"/>
      <c r="O65" s="40"/>
      <c r="P65" s="40"/>
      <c r="Q65" s="40">
        <f t="shared" si="12"/>
        <v>0</v>
      </c>
      <c r="S65" s="85">
        <v>53493</v>
      </c>
      <c r="T65" s="40"/>
      <c r="U65" s="40"/>
      <c r="V65" s="40"/>
      <c r="W65" s="40"/>
      <c r="X65" s="40">
        <v>0</v>
      </c>
      <c r="Z65" s="85">
        <v>53493</v>
      </c>
      <c r="AA65" s="40"/>
      <c r="AB65" s="40"/>
      <c r="AC65" s="40"/>
      <c r="AD65" s="40"/>
      <c r="AE65" s="40">
        <v>0</v>
      </c>
      <c r="AG65" s="85">
        <v>53493</v>
      </c>
      <c r="AH65" s="40"/>
      <c r="AI65" s="40"/>
      <c r="AJ65" s="40"/>
      <c r="AK65" s="40"/>
      <c r="AL65" s="40">
        <v>0</v>
      </c>
      <c r="AN65" s="85">
        <v>53493</v>
      </c>
      <c r="AO65" s="40"/>
      <c r="AP65" s="40"/>
      <c r="AQ65" s="40"/>
      <c r="AR65" s="40">
        <v>0</v>
      </c>
      <c r="AT65" s="85">
        <v>53493</v>
      </c>
      <c r="AU65" s="40"/>
      <c r="AV65" s="87">
        <v>0</v>
      </c>
      <c r="AW65" s="40"/>
      <c r="AX65" s="40">
        <v>0</v>
      </c>
      <c r="AZ65" s="85">
        <v>53493</v>
      </c>
      <c r="BA65" s="40"/>
      <c r="BB65" s="87"/>
      <c r="BC65" s="40"/>
      <c r="BD65" s="40"/>
      <c r="BE65" s="40">
        <f t="shared" si="0"/>
        <v>0</v>
      </c>
      <c r="BF65" s="67"/>
      <c r="BG65" s="85">
        <v>53493</v>
      </c>
      <c r="BI65" s="40"/>
      <c r="BJ65" s="87"/>
      <c r="BL65" s="40">
        <v>0</v>
      </c>
      <c r="BM65" s="67"/>
      <c r="BN65" s="85">
        <v>53493</v>
      </c>
      <c r="BO65" s="40"/>
      <c r="BP65" s="87"/>
      <c r="BQ65" s="40"/>
      <c r="BR65" s="87"/>
      <c r="BS65" s="40"/>
      <c r="BT65" s="87"/>
      <c r="BU65" s="40"/>
      <c r="BV65" s="87"/>
      <c r="BW65" s="40">
        <f t="shared" si="17"/>
        <v>18269725</v>
      </c>
      <c r="BX65" s="40"/>
      <c r="BY65" s="40">
        <f t="shared" si="14"/>
        <v>18269725</v>
      </c>
      <c r="BZ65" s="67"/>
      <c r="CA65" s="85">
        <v>53493</v>
      </c>
      <c r="CB65" s="40"/>
      <c r="CC65" s="87"/>
      <c r="CD65" s="40">
        <f t="shared" si="15"/>
        <v>4176700</v>
      </c>
      <c r="CE65" s="40">
        <f t="shared" si="1"/>
        <v>4176700</v>
      </c>
      <c r="CF65" s="67"/>
      <c r="CG65" s="85">
        <v>53493</v>
      </c>
      <c r="CH65" s="40"/>
      <c r="CI65" s="40"/>
      <c r="CJ65" s="40"/>
      <c r="CK65" s="40"/>
      <c r="CL65" s="40">
        <f t="shared" si="2"/>
        <v>0</v>
      </c>
      <c r="CM65" s="40"/>
      <c r="CN65" s="85">
        <v>53493</v>
      </c>
      <c r="CS65" s="40">
        <f t="shared" si="3"/>
        <v>0</v>
      </c>
      <c r="CT65" s="85"/>
      <c r="CU65" s="85">
        <v>53493</v>
      </c>
      <c r="DA65" s="85">
        <v>53493</v>
      </c>
      <c r="DE65" s="40">
        <v>0</v>
      </c>
      <c r="DG65" s="85">
        <v>53493</v>
      </c>
      <c r="DK65" s="40">
        <v>0</v>
      </c>
      <c r="DM65" s="85">
        <v>53493</v>
      </c>
      <c r="DR65" s="40">
        <f t="shared" si="4"/>
        <v>0</v>
      </c>
      <c r="DT65" s="85">
        <v>53493</v>
      </c>
      <c r="DY65" s="40">
        <f t="shared" si="5"/>
        <v>0</v>
      </c>
      <c r="EA65" s="85">
        <v>53493</v>
      </c>
      <c r="EF65" s="40">
        <f t="shared" si="6"/>
        <v>0</v>
      </c>
      <c r="EH65" s="85">
        <v>53493</v>
      </c>
      <c r="EM65" s="40">
        <f t="shared" si="7"/>
        <v>0</v>
      </c>
    </row>
    <row r="66" spans="2:143" x14ac:dyDescent="0.4">
      <c r="B66" s="85">
        <v>53692</v>
      </c>
      <c r="C66" s="85"/>
      <c r="D66" s="85">
        <v>53676</v>
      </c>
      <c r="E66" s="40">
        <f t="shared" si="8"/>
        <v>27285000</v>
      </c>
      <c r="F66" s="40">
        <f t="shared" si="9"/>
        <v>22446425</v>
      </c>
      <c r="G66" s="40">
        <f t="shared" si="10"/>
        <v>0</v>
      </c>
      <c r="H66" s="39">
        <v>0</v>
      </c>
      <c r="I66" s="40">
        <f t="shared" si="11"/>
        <v>49731425</v>
      </c>
      <c r="J66" s="40"/>
      <c r="L66" s="85">
        <v>53676</v>
      </c>
      <c r="M66" s="40"/>
      <c r="N66" s="40"/>
      <c r="O66" s="40"/>
      <c r="P66" s="40"/>
      <c r="Q66" s="40">
        <f t="shared" si="12"/>
        <v>0</v>
      </c>
      <c r="S66" s="85">
        <v>53676</v>
      </c>
      <c r="T66" s="40"/>
      <c r="U66" s="40"/>
      <c r="V66" s="40"/>
      <c r="W66" s="40"/>
      <c r="X66" s="40">
        <v>0</v>
      </c>
      <c r="Z66" s="85">
        <v>53676</v>
      </c>
      <c r="AA66" s="40"/>
      <c r="AB66" s="40"/>
      <c r="AC66" s="40"/>
      <c r="AD66" s="40"/>
      <c r="AE66" s="40">
        <v>0</v>
      </c>
      <c r="AG66" s="85">
        <v>53676</v>
      </c>
      <c r="AH66" s="40"/>
      <c r="AI66" s="40"/>
      <c r="AJ66" s="40"/>
      <c r="AK66" s="40"/>
      <c r="AL66" s="40">
        <v>0</v>
      </c>
      <c r="AN66" s="85">
        <v>53676</v>
      </c>
      <c r="AO66" s="40"/>
      <c r="AP66" s="40"/>
      <c r="AQ66" s="40"/>
      <c r="AR66" s="40">
        <v>0</v>
      </c>
      <c r="AT66" s="85">
        <v>53676</v>
      </c>
      <c r="AU66" s="40"/>
      <c r="AV66" s="87">
        <v>0</v>
      </c>
      <c r="AW66" s="40"/>
      <c r="AX66" s="40">
        <v>0</v>
      </c>
      <c r="AZ66" s="85">
        <v>53676</v>
      </c>
      <c r="BA66" s="40"/>
      <c r="BB66" s="87"/>
      <c r="BC66" s="40"/>
      <c r="BD66" s="40"/>
      <c r="BE66" s="40">
        <f t="shared" si="0"/>
        <v>0</v>
      </c>
      <c r="BF66" s="67"/>
      <c r="BG66" s="85">
        <v>53676</v>
      </c>
      <c r="BI66" s="40"/>
      <c r="BJ66" s="87"/>
      <c r="BL66" s="40">
        <v>0</v>
      </c>
      <c r="BM66" s="67"/>
      <c r="BN66" s="85">
        <v>53676</v>
      </c>
      <c r="BO66" s="40">
        <v>6900000</v>
      </c>
      <c r="BP66" s="87">
        <v>0.05</v>
      </c>
      <c r="BQ66" s="40">
        <v>8800000</v>
      </c>
      <c r="BR66" s="87">
        <v>0.05</v>
      </c>
      <c r="BS66" s="40">
        <v>9685000</v>
      </c>
      <c r="BT66" s="87">
        <v>5.2499999999999998E-2</v>
      </c>
      <c r="BU66" s="40">
        <v>1900000</v>
      </c>
      <c r="BV66" s="87">
        <v>5.1999999999999998E-2</v>
      </c>
      <c r="BW66" s="40">
        <f t="shared" si="17"/>
        <v>18269725</v>
      </c>
      <c r="BX66" s="40"/>
      <c r="BY66" s="40">
        <f t="shared" si="14"/>
        <v>45554725</v>
      </c>
      <c r="BZ66" s="67"/>
      <c r="CA66" s="85">
        <v>53676</v>
      </c>
      <c r="CB66" s="40"/>
      <c r="CC66" s="87"/>
      <c r="CD66" s="40">
        <f t="shared" si="15"/>
        <v>4176700</v>
      </c>
      <c r="CE66" s="40">
        <f t="shared" si="1"/>
        <v>4176700</v>
      </c>
      <c r="CF66" s="67"/>
      <c r="CG66" s="85">
        <v>53676</v>
      </c>
      <c r="CH66" s="40"/>
      <c r="CI66" s="40"/>
      <c r="CJ66" s="40"/>
      <c r="CK66" s="40"/>
      <c r="CL66" s="40">
        <f t="shared" si="2"/>
        <v>0</v>
      </c>
      <c r="CM66" s="40"/>
      <c r="CN66" s="85">
        <v>53676</v>
      </c>
      <c r="CO66" s="40"/>
      <c r="CP66" s="40"/>
      <c r="CQ66" s="40"/>
      <c r="CR66" s="40"/>
      <c r="CS66" s="40">
        <f t="shared" si="3"/>
        <v>0</v>
      </c>
      <c r="CT66" s="85"/>
      <c r="CU66" s="85">
        <v>53676</v>
      </c>
      <c r="CZ66" s="67"/>
      <c r="DA66" s="85">
        <v>53676</v>
      </c>
      <c r="DE66" s="40">
        <v>0</v>
      </c>
      <c r="DF66" s="67"/>
      <c r="DG66" s="85">
        <v>53676</v>
      </c>
      <c r="DK66" s="40">
        <v>0</v>
      </c>
      <c r="DL66" s="67"/>
      <c r="DM66" s="85">
        <v>53676</v>
      </c>
      <c r="DR66" s="40">
        <f t="shared" si="4"/>
        <v>0</v>
      </c>
      <c r="DS66" s="67"/>
      <c r="DT66" s="85">
        <v>53676</v>
      </c>
      <c r="DY66" s="40">
        <f t="shared" si="5"/>
        <v>0</v>
      </c>
      <c r="DZ66" s="67"/>
      <c r="EA66" s="85">
        <v>53676</v>
      </c>
      <c r="EF66" s="40">
        <f t="shared" si="6"/>
        <v>0</v>
      </c>
      <c r="EG66" s="67"/>
      <c r="EH66" s="85">
        <v>53676</v>
      </c>
      <c r="EM66" s="40">
        <f t="shared" si="7"/>
        <v>0</v>
      </c>
    </row>
    <row r="67" spans="2:143" x14ac:dyDescent="0.4">
      <c r="B67" s="85">
        <v>53873</v>
      </c>
      <c r="C67" s="85"/>
      <c r="D67" s="85">
        <v>53858</v>
      </c>
      <c r="E67" s="40">
        <f t="shared" si="8"/>
        <v>27285000</v>
      </c>
      <c r="F67" s="40">
        <f t="shared" si="9"/>
        <v>21750293.75</v>
      </c>
      <c r="G67" s="40">
        <f t="shared" si="10"/>
        <v>0</v>
      </c>
      <c r="H67" s="39">
        <v>0</v>
      </c>
      <c r="I67" s="40">
        <f t="shared" si="11"/>
        <v>49035293.75</v>
      </c>
      <c r="J67" s="40">
        <f>SUM(I66:I67)</f>
        <v>98766718.75</v>
      </c>
      <c r="L67" s="85">
        <v>53858</v>
      </c>
      <c r="M67" s="40"/>
      <c r="N67" s="40"/>
      <c r="O67" s="40"/>
      <c r="P67" s="40"/>
      <c r="Q67" s="40">
        <f t="shared" si="12"/>
        <v>0</v>
      </c>
      <c r="S67" s="85">
        <v>53858</v>
      </c>
      <c r="T67" s="40"/>
      <c r="U67" s="40"/>
      <c r="V67" s="40"/>
      <c r="W67" s="40"/>
      <c r="X67" s="40">
        <v>0</v>
      </c>
      <c r="Z67" s="85">
        <v>53858</v>
      </c>
      <c r="AA67" s="40"/>
      <c r="AB67" s="40"/>
      <c r="AC67" s="40"/>
      <c r="AD67" s="40"/>
      <c r="AE67" s="40">
        <v>0</v>
      </c>
      <c r="AG67" s="85">
        <v>53858</v>
      </c>
      <c r="AH67" s="40"/>
      <c r="AI67" s="40"/>
      <c r="AJ67" s="40"/>
      <c r="AK67" s="40"/>
      <c r="AL67" s="40">
        <v>0</v>
      </c>
      <c r="AN67" s="85">
        <v>53858</v>
      </c>
      <c r="AO67" s="40"/>
      <c r="AP67" s="40"/>
      <c r="AQ67" s="40"/>
      <c r="AR67" s="40">
        <v>0</v>
      </c>
      <c r="AT67" s="85">
        <v>53858</v>
      </c>
      <c r="AU67" s="40"/>
      <c r="AV67" s="87">
        <v>0</v>
      </c>
      <c r="AW67" s="40"/>
      <c r="AX67" s="40">
        <v>0</v>
      </c>
      <c r="AZ67" s="85">
        <v>53858</v>
      </c>
      <c r="BA67" s="40"/>
      <c r="BB67" s="87"/>
      <c r="BC67" s="40"/>
      <c r="BD67" s="40"/>
      <c r="BE67" s="40">
        <f t="shared" si="0"/>
        <v>0</v>
      </c>
      <c r="BF67" s="67"/>
      <c r="BG67" s="85">
        <v>53858</v>
      </c>
      <c r="BI67" s="40"/>
      <c r="BJ67" s="87"/>
      <c r="BL67" s="40">
        <v>0</v>
      </c>
      <c r="BM67" s="67"/>
      <c r="BN67" s="85">
        <v>53858</v>
      </c>
      <c r="BO67" s="40">
        <v>6900000</v>
      </c>
      <c r="BP67" s="87">
        <v>0.05</v>
      </c>
      <c r="BQ67" s="40">
        <v>8800000</v>
      </c>
      <c r="BR67" s="87">
        <v>0.05</v>
      </c>
      <c r="BS67" s="40">
        <v>9685000</v>
      </c>
      <c r="BT67" s="87">
        <v>5.2499999999999998E-2</v>
      </c>
      <c r="BU67" s="40">
        <v>1900000</v>
      </c>
      <c r="BV67" s="87">
        <v>5.1999999999999998E-2</v>
      </c>
      <c r="BW67" s="40">
        <f t="shared" si="17"/>
        <v>17573593.75</v>
      </c>
      <c r="BX67" s="40"/>
      <c r="BY67" s="40">
        <f t="shared" si="14"/>
        <v>44858593.75</v>
      </c>
      <c r="BZ67" s="67"/>
      <c r="CA67" s="85">
        <v>53858</v>
      </c>
      <c r="CB67" s="40"/>
      <c r="CC67" s="87"/>
      <c r="CD67" s="40">
        <f t="shared" si="15"/>
        <v>4176700</v>
      </c>
      <c r="CE67" s="40">
        <f t="shared" si="1"/>
        <v>4176700</v>
      </c>
      <c r="CF67" s="67"/>
      <c r="CG67" s="85">
        <v>53858</v>
      </c>
      <c r="CH67" s="40"/>
      <c r="CI67" s="40"/>
      <c r="CJ67" s="40"/>
      <c r="CK67" s="40"/>
      <c r="CL67" s="40">
        <f t="shared" si="2"/>
        <v>0</v>
      </c>
      <c r="CM67" s="40"/>
      <c r="CN67" s="85">
        <v>53858</v>
      </c>
      <c r="CO67" s="40"/>
      <c r="CP67" s="40"/>
      <c r="CQ67" s="40"/>
      <c r="CR67" s="40"/>
      <c r="CS67" s="40">
        <f t="shared" si="3"/>
        <v>0</v>
      </c>
      <c r="CT67" s="85"/>
      <c r="CU67" s="85">
        <v>53858</v>
      </c>
      <c r="CZ67" s="67"/>
      <c r="DA67" s="85">
        <v>53858</v>
      </c>
      <c r="DE67" s="40">
        <v>0</v>
      </c>
      <c r="DF67" s="67"/>
      <c r="DG67" s="85">
        <v>53858</v>
      </c>
      <c r="DK67" s="40">
        <v>0</v>
      </c>
      <c r="DL67" s="67"/>
      <c r="DM67" s="85">
        <v>53858</v>
      </c>
      <c r="DR67" s="40">
        <f t="shared" si="4"/>
        <v>0</v>
      </c>
      <c r="DS67" s="67"/>
      <c r="DT67" s="85">
        <v>53858</v>
      </c>
      <c r="DY67" s="40">
        <f t="shared" si="5"/>
        <v>0</v>
      </c>
      <c r="DZ67" s="67"/>
      <c r="EA67" s="85">
        <v>53858</v>
      </c>
      <c r="EF67" s="40">
        <f t="shared" si="6"/>
        <v>0</v>
      </c>
      <c r="EG67" s="67"/>
      <c r="EH67" s="85">
        <v>53858</v>
      </c>
      <c r="EM67" s="40">
        <f t="shared" si="7"/>
        <v>0</v>
      </c>
    </row>
    <row r="68" spans="2:143" x14ac:dyDescent="0.4">
      <c r="B68" s="85">
        <v>54057</v>
      </c>
      <c r="C68" s="85"/>
      <c r="D68" s="85">
        <v>54041</v>
      </c>
      <c r="E68" s="40">
        <f t="shared" si="8"/>
        <v>136865000</v>
      </c>
      <c r="F68" s="40">
        <f t="shared" si="9"/>
        <v>21054162.5</v>
      </c>
      <c r="G68" s="40">
        <f t="shared" si="10"/>
        <v>0</v>
      </c>
      <c r="H68" s="39">
        <v>0</v>
      </c>
      <c r="I68" s="40">
        <f t="shared" si="11"/>
        <v>157919162.5</v>
      </c>
      <c r="J68" s="40"/>
      <c r="L68" s="85">
        <v>54041</v>
      </c>
      <c r="M68" s="40"/>
      <c r="N68" s="40"/>
      <c r="O68" s="40"/>
      <c r="P68" s="40"/>
      <c r="Q68" s="40">
        <f t="shared" si="12"/>
        <v>0</v>
      </c>
      <c r="S68" s="85">
        <v>54041</v>
      </c>
      <c r="T68" s="40"/>
      <c r="U68" s="40"/>
      <c r="V68" s="40"/>
      <c r="W68" s="40"/>
      <c r="X68" s="40">
        <v>0</v>
      </c>
      <c r="Z68" s="85">
        <v>54041</v>
      </c>
      <c r="AA68" s="40"/>
      <c r="AB68" s="40"/>
      <c r="AC68" s="40"/>
      <c r="AD68" s="40"/>
      <c r="AE68" s="40">
        <v>0</v>
      </c>
      <c r="AG68" s="85">
        <v>54041</v>
      </c>
      <c r="AH68" s="40"/>
      <c r="AI68" s="40"/>
      <c r="AJ68" s="40"/>
      <c r="AK68" s="40"/>
      <c r="AL68" s="40">
        <v>0</v>
      </c>
      <c r="AN68" s="85">
        <v>54041</v>
      </c>
      <c r="AO68" s="40"/>
      <c r="AP68" s="40"/>
      <c r="AQ68" s="40"/>
      <c r="AR68" s="40">
        <v>0</v>
      </c>
      <c r="AT68" s="85">
        <v>54041</v>
      </c>
      <c r="AU68" s="40"/>
      <c r="AV68" s="87">
        <v>0</v>
      </c>
      <c r="AW68" s="40"/>
      <c r="AX68" s="40">
        <v>0</v>
      </c>
      <c r="AZ68" s="85">
        <v>54041</v>
      </c>
      <c r="BA68" s="40"/>
      <c r="BB68" s="87"/>
      <c r="BC68" s="40"/>
      <c r="BD68" s="40"/>
      <c r="BE68" s="40">
        <f t="shared" si="0"/>
        <v>0</v>
      </c>
      <c r="BF68" s="67"/>
      <c r="BG68" s="85">
        <v>54041</v>
      </c>
      <c r="BI68" s="40"/>
      <c r="BJ68" s="87"/>
      <c r="BL68" s="40">
        <v>0</v>
      </c>
      <c r="BM68" s="67"/>
      <c r="BN68" s="85">
        <v>54041</v>
      </c>
      <c r="BO68" s="40">
        <v>39120000</v>
      </c>
      <c r="BP68" s="87">
        <v>0.05</v>
      </c>
      <c r="BQ68" s="40">
        <v>49875000</v>
      </c>
      <c r="BR68" s="87">
        <v>0.05</v>
      </c>
      <c r="BS68" s="40">
        <v>37110000</v>
      </c>
      <c r="BT68" s="87">
        <v>5.2499999999999998E-2</v>
      </c>
      <c r="BU68" s="40">
        <v>10760000</v>
      </c>
      <c r="BV68" s="87">
        <v>5.1999999999999998E-2</v>
      </c>
      <c r="BW68" s="40">
        <f t="shared" si="17"/>
        <v>16877462.5</v>
      </c>
      <c r="BX68" s="40"/>
      <c r="BY68" s="40">
        <f t="shared" si="14"/>
        <v>153742462.5</v>
      </c>
      <c r="BZ68" s="67"/>
      <c r="CA68" s="85">
        <v>54041</v>
      </c>
      <c r="CB68" s="40"/>
      <c r="CC68" s="87"/>
      <c r="CD68" s="40">
        <f t="shared" si="15"/>
        <v>4176700</v>
      </c>
      <c r="CE68" s="40">
        <f t="shared" si="1"/>
        <v>4176700</v>
      </c>
      <c r="CF68" s="67"/>
      <c r="CG68" s="85">
        <v>54041</v>
      </c>
      <c r="CH68" s="40"/>
      <c r="CI68" s="40"/>
      <c r="CJ68" s="40"/>
      <c r="CK68" s="40"/>
      <c r="CL68" s="40">
        <f t="shared" si="2"/>
        <v>0</v>
      </c>
      <c r="CM68" s="40"/>
      <c r="CN68" s="85">
        <v>54041</v>
      </c>
      <c r="CO68" s="40"/>
      <c r="CP68" s="40"/>
      <c r="CQ68" s="40"/>
      <c r="CR68" s="40"/>
      <c r="CS68" s="40">
        <f t="shared" si="3"/>
        <v>0</v>
      </c>
      <c r="CT68" s="85"/>
      <c r="CU68" s="85">
        <v>54041</v>
      </c>
      <c r="CZ68" s="67"/>
      <c r="DA68" s="85">
        <v>54041</v>
      </c>
      <c r="DE68" s="40">
        <v>0</v>
      </c>
      <c r="DF68" s="67"/>
      <c r="DG68" s="85">
        <v>54041</v>
      </c>
      <c r="DK68" s="40">
        <v>0</v>
      </c>
      <c r="DL68" s="67"/>
      <c r="DM68" s="85">
        <v>54041</v>
      </c>
      <c r="DR68" s="40">
        <f t="shared" si="4"/>
        <v>0</v>
      </c>
      <c r="DS68" s="67"/>
      <c r="DT68" s="85">
        <v>54041</v>
      </c>
      <c r="DY68" s="40">
        <f t="shared" si="5"/>
        <v>0</v>
      </c>
      <c r="DZ68" s="67"/>
      <c r="EA68" s="85">
        <v>54041</v>
      </c>
      <c r="EF68" s="40">
        <f t="shared" si="6"/>
        <v>0</v>
      </c>
      <c r="EG68" s="67"/>
      <c r="EH68" s="85">
        <v>54041</v>
      </c>
      <c r="EM68" s="40">
        <f t="shared" si="7"/>
        <v>0</v>
      </c>
    </row>
    <row r="69" spans="2:143" x14ac:dyDescent="0.4">
      <c r="B69" s="85">
        <v>54239</v>
      </c>
      <c r="C69" s="85"/>
      <c r="D69" s="85">
        <v>54224</v>
      </c>
      <c r="E69" s="40">
        <f t="shared" si="8"/>
        <v>136865000</v>
      </c>
      <c r="F69" s="40">
        <f t="shared" si="9"/>
        <v>17575390</v>
      </c>
      <c r="G69" s="40">
        <f t="shared" si="10"/>
        <v>0</v>
      </c>
      <c r="H69" s="39">
        <v>0</v>
      </c>
      <c r="I69" s="40">
        <f t="shared" si="11"/>
        <v>154440390</v>
      </c>
      <c r="J69" s="40">
        <f>SUM(I68:I69)</f>
        <v>312359552.5</v>
      </c>
      <c r="L69" s="85">
        <v>54224</v>
      </c>
      <c r="M69" s="40"/>
      <c r="N69" s="40"/>
      <c r="O69" s="40"/>
      <c r="P69" s="40"/>
      <c r="Q69" s="40">
        <f t="shared" si="12"/>
        <v>0</v>
      </c>
      <c r="S69" s="85">
        <v>54224</v>
      </c>
      <c r="T69" s="40"/>
      <c r="U69" s="40"/>
      <c r="V69" s="40"/>
      <c r="W69" s="40"/>
      <c r="X69" s="40">
        <v>0</v>
      </c>
      <c r="Z69" s="85">
        <v>54224</v>
      </c>
      <c r="AA69" s="40"/>
      <c r="AB69" s="40"/>
      <c r="AC69" s="40"/>
      <c r="AD69" s="40"/>
      <c r="AE69" s="40">
        <v>0</v>
      </c>
      <c r="AG69" s="85">
        <v>54224</v>
      </c>
      <c r="AH69" s="40"/>
      <c r="AI69" s="40"/>
      <c r="AJ69" s="40"/>
      <c r="AK69" s="40"/>
      <c r="AL69" s="40">
        <v>0</v>
      </c>
      <c r="AN69" s="85">
        <v>54224</v>
      </c>
      <c r="AO69" s="40"/>
      <c r="AP69" s="40"/>
      <c r="AQ69" s="40"/>
      <c r="AR69" s="40">
        <v>0</v>
      </c>
      <c r="AT69" s="85">
        <v>54224</v>
      </c>
      <c r="AU69" s="40"/>
      <c r="AV69" s="87">
        <v>0</v>
      </c>
      <c r="AW69" s="40"/>
      <c r="AX69" s="40">
        <v>0</v>
      </c>
      <c r="AZ69" s="85">
        <v>54224</v>
      </c>
      <c r="BA69" s="40"/>
      <c r="BB69" s="87"/>
      <c r="BC69" s="40"/>
      <c r="BD69" s="40"/>
      <c r="BE69" s="40">
        <f t="shared" si="0"/>
        <v>0</v>
      </c>
      <c r="BF69" s="67"/>
      <c r="BG69" s="85">
        <v>54224</v>
      </c>
      <c r="BI69" s="40"/>
      <c r="BJ69" s="87"/>
      <c r="BL69" s="40">
        <v>0</v>
      </c>
      <c r="BM69" s="67"/>
      <c r="BN69" s="85">
        <v>54224</v>
      </c>
      <c r="BO69" s="40">
        <v>39120000</v>
      </c>
      <c r="BP69" s="87">
        <v>0.05</v>
      </c>
      <c r="BQ69" s="40">
        <v>49880000</v>
      </c>
      <c r="BR69" s="87">
        <v>0.05</v>
      </c>
      <c r="BS69" s="40">
        <v>37105000</v>
      </c>
      <c r="BT69" s="87">
        <v>5.2499999999999998E-2</v>
      </c>
      <c r="BU69" s="40">
        <v>10760000</v>
      </c>
      <c r="BV69" s="87">
        <v>5.1999999999999998E-2</v>
      </c>
      <c r="BW69" s="40">
        <f t="shared" si="17"/>
        <v>13398690</v>
      </c>
      <c r="BX69" s="40"/>
      <c r="BY69" s="40">
        <f t="shared" si="14"/>
        <v>150263690</v>
      </c>
      <c r="BZ69" s="67"/>
      <c r="CA69" s="85">
        <v>54224</v>
      </c>
      <c r="CB69" s="40"/>
      <c r="CC69" s="87"/>
      <c r="CD69" s="40">
        <f t="shared" si="15"/>
        <v>4176700</v>
      </c>
      <c r="CE69" s="40">
        <f t="shared" si="1"/>
        <v>4176700</v>
      </c>
      <c r="CF69" s="67"/>
      <c r="CG69" s="85">
        <v>54224</v>
      </c>
      <c r="CH69" s="40"/>
      <c r="CI69" s="40"/>
      <c r="CJ69" s="40"/>
      <c r="CK69" s="40"/>
      <c r="CL69" s="40">
        <f t="shared" si="2"/>
        <v>0</v>
      </c>
      <c r="CM69" s="40"/>
      <c r="CN69" s="85">
        <v>54224</v>
      </c>
      <c r="CO69" s="40"/>
      <c r="CP69" s="40"/>
      <c r="CQ69" s="40"/>
      <c r="CR69" s="40"/>
      <c r="CS69" s="40">
        <f t="shared" si="3"/>
        <v>0</v>
      </c>
      <c r="CT69" s="85"/>
      <c r="CU69" s="85">
        <v>54224</v>
      </c>
      <c r="CZ69" s="67"/>
      <c r="DA69" s="85">
        <v>54224</v>
      </c>
      <c r="DE69" s="40">
        <v>0</v>
      </c>
      <c r="DF69" s="67"/>
      <c r="DG69" s="85">
        <v>54224</v>
      </c>
      <c r="DK69" s="40">
        <v>0</v>
      </c>
      <c r="DL69" s="67"/>
      <c r="DM69" s="85">
        <v>54224</v>
      </c>
      <c r="DR69" s="40">
        <f t="shared" si="4"/>
        <v>0</v>
      </c>
      <c r="DS69" s="67"/>
      <c r="DT69" s="85">
        <v>54224</v>
      </c>
      <c r="DY69" s="40">
        <f t="shared" si="5"/>
        <v>0</v>
      </c>
      <c r="DZ69" s="67"/>
      <c r="EA69" s="85">
        <v>54224</v>
      </c>
      <c r="EF69" s="40">
        <f t="shared" si="6"/>
        <v>0</v>
      </c>
      <c r="EG69" s="67"/>
      <c r="EH69" s="85">
        <v>54224</v>
      </c>
      <c r="EM69" s="40">
        <f t="shared" si="7"/>
        <v>0</v>
      </c>
    </row>
    <row r="70" spans="2:143" x14ac:dyDescent="0.4">
      <c r="B70" s="85">
        <v>54423</v>
      </c>
      <c r="C70" s="85"/>
      <c r="D70" s="85">
        <v>54407</v>
      </c>
      <c r="E70" s="40">
        <f t="shared" si="8"/>
        <v>143915000</v>
      </c>
      <c r="F70" s="40">
        <f t="shared" si="9"/>
        <v>14096623.75</v>
      </c>
      <c r="G70" s="40">
        <f t="shared" si="10"/>
        <v>0</v>
      </c>
      <c r="H70" s="39">
        <v>0</v>
      </c>
      <c r="I70" s="40">
        <f t="shared" si="11"/>
        <v>158011623.75</v>
      </c>
      <c r="J70" s="40"/>
      <c r="L70" s="85">
        <v>54407</v>
      </c>
      <c r="M70" s="40"/>
      <c r="N70" s="40"/>
      <c r="O70" s="40"/>
      <c r="P70" s="40"/>
      <c r="Q70" s="40">
        <f t="shared" si="12"/>
        <v>0</v>
      </c>
      <c r="S70" s="85">
        <v>54407</v>
      </c>
      <c r="T70" s="40"/>
      <c r="U70" s="40"/>
      <c r="V70" s="40"/>
      <c r="W70" s="40"/>
      <c r="X70" s="40">
        <v>0</v>
      </c>
      <c r="Z70" s="85">
        <v>54407</v>
      </c>
      <c r="AA70" s="40"/>
      <c r="AB70" s="40"/>
      <c r="AC70" s="40"/>
      <c r="AD70" s="40"/>
      <c r="AE70" s="40">
        <v>0</v>
      </c>
      <c r="AG70" s="85">
        <v>54407</v>
      </c>
      <c r="AH70" s="40"/>
      <c r="AI70" s="40"/>
      <c r="AJ70" s="40"/>
      <c r="AK70" s="40"/>
      <c r="AL70" s="40">
        <v>0</v>
      </c>
      <c r="AN70" s="85">
        <v>54407</v>
      </c>
      <c r="AO70" s="40"/>
      <c r="AP70" s="40"/>
      <c r="AQ70" s="40"/>
      <c r="AR70" s="40">
        <v>0</v>
      </c>
      <c r="AT70" s="85">
        <v>54407</v>
      </c>
      <c r="AU70" s="40"/>
      <c r="AV70" s="87">
        <v>0</v>
      </c>
      <c r="AW70" s="40"/>
      <c r="AX70" s="40">
        <v>0</v>
      </c>
      <c r="AZ70" s="85">
        <v>54407</v>
      </c>
      <c r="BA70" s="40"/>
      <c r="BB70" s="87"/>
      <c r="BC70" s="40"/>
      <c r="BD70" s="40"/>
      <c r="BE70" s="40">
        <f t="shared" si="0"/>
        <v>0</v>
      </c>
      <c r="BF70" s="67"/>
      <c r="BG70" s="85">
        <v>54407</v>
      </c>
      <c r="BI70" s="40"/>
      <c r="BJ70" s="87"/>
      <c r="BL70" s="40">
        <v>0</v>
      </c>
      <c r="BM70" s="67"/>
      <c r="BN70" s="85">
        <v>54407</v>
      </c>
      <c r="BO70" s="40">
        <v>41200000</v>
      </c>
      <c r="BP70" s="87">
        <v>0.05</v>
      </c>
      <c r="BQ70" s="40">
        <v>52530000</v>
      </c>
      <c r="BR70" s="87">
        <v>0.05</v>
      </c>
      <c r="BS70" s="40">
        <v>38855000</v>
      </c>
      <c r="BT70" s="87">
        <v>5.2499999999999998E-2</v>
      </c>
      <c r="BU70" s="40">
        <v>11330000</v>
      </c>
      <c r="BV70" s="87">
        <v>5.1999999999999998E-2</v>
      </c>
      <c r="BW70" s="40">
        <f t="shared" si="17"/>
        <v>9919923.75</v>
      </c>
      <c r="BX70" s="40"/>
      <c r="BY70" s="40">
        <f t="shared" si="14"/>
        <v>153834923.75</v>
      </c>
      <c r="BZ70" s="67"/>
      <c r="CA70" s="85">
        <v>54407</v>
      </c>
      <c r="CB70" s="40"/>
      <c r="CC70" s="87"/>
      <c r="CD70" s="40">
        <f t="shared" si="15"/>
        <v>4176700</v>
      </c>
      <c r="CE70" s="40">
        <f t="shared" si="1"/>
        <v>4176700</v>
      </c>
      <c r="CF70" s="67"/>
      <c r="CG70" s="85">
        <v>54407</v>
      </c>
      <c r="CH70" s="40"/>
      <c r="CI70" s="40"/>
      <c r="CJ70" s="40"/>
      <c r="CK70" s="40"/>
      <c r="CL70" s="40">
        <f t="shared" si="2"/>
        <v>0</v>
      </c>
      <c r="CM70" s="40"/>
      <c r="CN70" s="85">
        <v>54407</v>
      </c>
      <c r="CO70" s="40"/>
      <c r="CP70" s="40"/>
      <c r="CQ70" s="40"/>
      <c r="CR70" s="40"/>
      <c r="CS70" s="40">
        <f t="shared" si="3"/>
        <v>0</v>
      </c>
      <c r="CT70" s="85"/>
      <c r="CU70" s="85">
        <v>54407</v>
      </c>
      <c r="CZ70" s="67"/>
      <c r="DA70" s="85">
        <v>54407</v>
      </c>
      <c r="DE70" s="40">
        <v>0</v>
      </c>
      <c r="DF70" s="67"/>
      <c r="DG70" s="85">
        <v>54407</v>
      </c>
      <c r="DK70" s="40">
        <v>0</v>
      </c>
      <c r="DL70" s="67"/>
      <c r="DM70" s="85">
        <v>54407</v>
      </c>
      <c r="DR70" s="40">
        <f t="shared" si="4"/>
        <v>0</v>
      </c>
      <c r="DS70" s="67"/>
      <c r="DT70" s="85">
        <v>54407</v>
      </c>
      <c r="DY70" s="40">
        <f t="shared" si="5"/>
        <v>0</v>
      </c>
      <c r="DZ70" s="67"/>
      <c r="EA70" s="85">
        <v>54407</v>
      </c>
      <c r="EF70" s="40">
        <f t="shared" si="6"/>
        <v>0</v>
      </c>
      <c r="EG70" s="67"/>
      <c r="EH70" s="85">
        <v>54407</v>
      </c>
      <c r="EI70" s="67"/>
      <c r="EJ70" s="67"/>
      <c r="EK70" s="67"/>
      <c r="EL70" s="67"/>
      <c r="EM70" s="40">
        <f t="shared" si="7"/>
        <v>0</v>
      </c>
    </row>
    <row r="71" spans="2:143" x14ac:dyDescent="0.4">
      <c r="B71" s="85">
        <v>54604</v>
      </c>
      <c r="C71" s="85"/>
      <c r="D71" s="85">
        <v>54589</v>
      </c>
      <c r="E71" s="40">
        <f t="shared" si="8"/>
        <v>143910000</v>
      </c>
      <c r="F71" s="40">
        <f t="shared" si="9"/>
        <v>10438850</v>
      </c>
      <c r="G71" s="40">
        <f t="shared" si="10"/>
        <v>0</v>
      </c>
      <c r="H71" s="39">
        <v>0</v>
      </c>
      <c r="I71" s="40">
        <f t="shared" si="11"/>
        <v>154348850</v>
      </c>
      <c r="J71" s="40">
        <f>SUM(I70:I71)</f>
        <v>312360473.75</v>
      </c>
      <c r="L71" s="85">
        <v>54589</v>
      </c>
      <c r="M71" s="40"/>
      <c r="N71" s="40"/>
      <c r="O71" s="40"/>
      <c r="P71" s="40"/>
      <c r="Q71" s="40">
        <f t="shared" si="12"/>
        <v>0</v>
      </c>
      <c r="S71" s="85">
        <v>54589</v>
      </c>
      <c r="T71" s="40"/>
      <c r="U71" s="40"/>
      <c r="V71" s="40"/>
      <c r="W71" s="40"/>
      <c r="X71" s="40">
        <v>0</v>
      </c>
      <c r="Z71" s="85">
        <v>54589</v>
      </c>
      <c r="AA71" s="40"/>
      <c r="AB71" s="40"/>
      <c r="AC71" s="40"/>
      <c r="AD71" s="40"/>
      <c r="AE71" s="40">
        <v>0</v>
      </c>
      <c r="AG71" s="85">
        <v>54589</v>
      </c>
      <c r="AH71" s="40"/>
      <c r="AI71" s="40"/>
      <c r="AJ71" s="40"/>
      <c r="AK71" s="40"/>
      <c r="AL71" s="40">
        <v>0</v>
      </c>
      <c r="AN71" s="85">
        <v>54589</v>
      </c>
      <c r="AO71" s="40"/>
      <c r="AP71" s="40"/>
      <c r="AQ71" s="40"/>
      <c r="AR71" s="40">
        <v>0</v>
      </c>
      <c r="AT71" s="85">
        <v>54589</v>
      </c>
      <c r="AU71" s="40"/>
      <c r="AV71" s="87">
        <v>0</v>
      </c>
      <c r="AW71" s="40"/>
      <c r="AX71" s="40">
        <v>0</v>
      </c>
      <c r="AZ71" s="85">
        <v>54589</v>
      </c>
      <c r="BA71" s="40"/>
      <c r="BB71" s="87"/>
      <c r="BC71" s="40"/>
      <c r="BD71" s="40"/>
      <c r="BE71" s="40">
        <f t="shared" si="0"/>
        <v>0</v>
      </c>
      <c r="BF71" s="67"/>
      <c r="BG71" s="85">
        <v>54589</v>
      </c>
      <c r="BH71" s="67"/>
      <c r="BI71" s="40"/>
      <c r="BJ71" s="94"/>
      <c r="BK71" s="67"/>
      <c r="BL71" s="40">
        <v>0</v>
      </c>
      <c r="BM71" s="67"/>
      <c r="BN71" s="85">
        <v>54589</v>
      </c>
      <c r="BO71" s="40">
        <v>41200000</v>
      </c>
      <c r="BP71" s="87">
        <v>0.05</v>
      </c>
      <c r="BQ71" s="40">
        <v>52530000</v>
      </c>
      <c r="BR71" s="87">
        <v>0.05</v>
      </c>
      <c r="BS71" s="40">
        <v>38850000</v>
      </c>
      <c r="BT71" s="87">
        <v>5.2499999999999998E-2</v>
      </c>
      <c r="BU71" s="40">
        <v>11330000</v>
      </c>
      <c r="BV71" s="87">
        <v>5.1999999999999998E-2</v>
      </c>
      <c r="BW71" s="40">
        <f t="shared" si="17"/>
        <v>6262150</v>
      </c>
      <c r="BX71" s="40"/>
      <c r="BY71" s="40">
        <f t="shared" si="14"/>
        <v>150172150</v>
      </c>
      <c r="BZ71" s="67"/>
      <c r="CA71" s="85">
        <v>54589</v>
      </c>
      <c r="CB71" s="40"/>
      <c r="CC71" s="87"/>
      <c r="CD71" s="40">
        <f t="shared" si="15"/>
        <v>4176700</v>
      </c>
      <c r="CE71" s="40">
        <f t="shared" si="1"/>
        <v>4176700</v>
      </c>
      <c r="CF71" s="67"/>
      <c r="CG71" s="85">
        <v>54589</v>
      </c>
      <c r="CH71" s="67"/>
      <c r="CI71" s="67"/>
      <c r="CJ71" s="67"/>
      <c r="CK71" s="67"/>
      <c r="CL71" s="40">
        <f t="shared" si="2"/>
        <v>0</v>
      </c>
      <c r="CM71" s="73"/>
      <c r="CN71" s="85">
        <v>54589</v>
      </c>
      <c r="CO71" s="67"/>
      <c r="CP71" s="67"/>
      <c r="CQ71" s="67"/>
      <c r="CR71" s="67"/>
      <c r="CS71" s="40">
        <f t="shared" si="3"/>
        <v>0</v>
      </c>
      <c r="CT71" s="85"/>
      <c r="CU71" s="85">
        <v>54589</v>
      </c>
      <c r="CV71" s="67"/>
      <c r="CW71" s="67"/>
      <c r="CX71" s="67"/>
      <c r="CY71" s="67"/>
      <c r="CZ71" s="67"/>
      <c r="DA71" s="85">
        <v>54589</v>
      </c>
      <c r="DB71" s="67"/>
      <c r="DC71" s="67"/>
      <c r="DD71" s="67"/>
      <c r="DE71" s="40">
        <v>0</v>
      </c>
      <c r="DF71" s="67"/>
      <c r="DG71" s="85">
        <v>54589</v>
      </c>
      <c r="DH71" s="67"/>
      <c r="DI71" s="67"/>
      <c r="DJ71" s="67"/>
      <c r="DK71" s="40">
        <v>0</v>
      </c>
      <c r="DL71" s="67"/>
      <c r="DM71" s="85">
        <v>54589</v>
      </c>
      <c r="DN71" s="67"/>
      <c r="DO71" s="67"/>
      <c r="DP71" s="67"/>
      <c r="DQ71" s="67"/>
      <c r="DR71" s="40">
        <f t="shared" si="4"/>
        <v>0</v>
      </c>
      <c r="DS71" s="67"/>
      <c r="DT71" s="85">
        <v>54589</v>
      </c>
      <c r="DU71" s="67"/>
      <c r="DV71" s="67"/>
      <c r="DW71" s="67"/>
      <c r="DX71" s="67"/>
      <c r="DY71" s="40">
        <f t="shared" si="5"/>
        <v>0</v>
      </c>
      <c r="DZ71" s="67"/>
      <c r="EA71" s="85">
        <v>54589</v>
      </c>
      <c r="EB71" s="67"/>
      <c r="EC71" s="67"/>
      <c r="ED71" s="67"/>
      <c r="EE71" s="67"/>
      <c r="EF71" s="40">
        <f t="shared" si="6"/>
        <v>0</v>
      </c>
      <c r="EG71" s="67"/>
      <c r="EH71" s="85">
        <v>54589</v>
      </c>
      <c r="EI71" s="67"/>
      <c r="EJ71" s="67"/>
      <c r="EK71" s="67"/>
      <c r="EL71" s="67"/>
      <c r="EM71" s="40">
        <f t="shared" si="7"/>
        <v>0</v>
      </c>
    </row>
    <row r="72" spans="2:143" x14ac:dyDescent="0.4">
      <c r="B72" s="85">
        <v>54788</v>
      </c>
      <c r="C72" s="85"/>
      <c r="D72" s="85">
        <v>54772</v>
      </c>
      <c r="E72" s="40">
        <f t="shared" si="8"/>
        <v>126975000</v>
      </c>
      <c r="F72" s="40">
        <f t="shared" si="9"/>
        <v>6781207.5</v>
      </c>
      <c r="G72" s="40">
        <f t="shared" si="10"/>
        <v>0</v>
      </c>
      <c r="H72" s="39">
        <v>0</v>
      </c>
      <c r="I72" s="40">
        <f t="shared" si="11"/>
        <v>133756207.5</v>
      </c>
      <c r="J72" s="40"/>
      <c r="L72" s="85">
        <v>54772</v>
      </c>
      <c r="M72" s="40"/>
      <c r="N72" s="40"/>
      <c r="O72" s="40"/>
      <c r="P72" s="40"/>
      <c r="Q72" s="40">
        <f t="shared" si="12"/>
        <v>0</v>
      </c>
      <c r="S72" s="85">
        <v>54772</v>
      </c>
      <c r="T72" s="40"/>
      <c r="U72" s="40"/>
      <c r="V72" s="40"/>
      <c r="W72" s="40"/>
      <c r="X72" s="40">
        <v>0</v>
      </c>
      <c r="Z72" s="85">
        <v>54772</v>
      </c>
      <c r="AA72" s="40"/>
      <c r="AB72" s="40"/>
      <c r="AC72" s="40"/>
      <c r="AD72" s="40"/>
      <c r="AE72" s="40">
        <v>0</v>
      </c>
      <c r="AG72" s="85">
        <v>54772</v>
      </c>
      <c r="AH72" s="40"/>
      <c r="AI72" s="40"/>
      <c r="AJ72" s="40"/>
      <c r="AK72" s="40"/>
      <c r="AL72" s="40">
        <v>0</v>
      </c>
      <c r="AN72" s="85">
        <v>54772</v>
      </c>
      <c r="AO72" s="40"/>
      <c r="AP72" s="40"/>
      <c r="AQ72" s="40"/>
      <c r="AR72" s="40">
        <v>0</v>
      </c>
      <c r="AT72" s="85">
        <v>54772</v>
      </c>
      <c r="AU72" s="40"/>
      <c r="AV72" s="87">
        <v>0</v>
      </c>
      <c r="AW72" s="40"/>
      <c r="AX72" s="40">
        <v>0</v>
      </c>
      <c r="AZ72" s="85">
        <v>54772</v>
      </c>
      <c r="BA72" s="40"/>
      <c r="BB72" s="87"/>
      <c r="BC72" s="40"/>
      <c r="BD72" s="40"/>
      <c r="BE72" s="40">
        <f t="shared" ref="BE72:BE93" si="18">SUM(BA72,BC72,BD72)</f>
        <v>0</v>
      </c>
      <c r="BG72" s="85">
        <v>54772</v>
      </c>
      <c r="BI72" s="40"/>
      <c r="BJ72" s="87"/>
      <c r="BL72" s="40">
        <v>0</v>
      </c>
      <c r="BN72" s="85">
        <v>54772</v>
      </c>
      <c r="BO72" s="40">
        <v>12780000</v>
      </c>
      <c r="BP72" s="87">
        <v>0.05</v>
      </c>
      <c r="BQ72" s="40">
        <v>16290000</v>
      </c>
      <c r="BR72" s="87">
        <v>0.05</v>
      </c>
      <c r="BS72" s="40">
        <v>18445000</v>
      </c>
      <c r="BT72" s="87">
        <v>5.2499999999999998E-2</v>
      </c>
      <c r="BU72" s="40">
        <v>3515000</v>
      </c>
      <c r="BV72" s="87">
        <v>5.1999999999999998E-2</v>
      </c>
      <c r="BW72" s="40">
        <f t="shared" si="17"/>
        <v>2604507.5</v>
      </c>
      <c r="BX72" s="40"/>
      <c r="BY72" s="40">
        <f t="shared" si="14"/>
        <v>53634507.5</v>
      </c>
      <c r="CA72" s="85">
        <v>54772</v>
      </c>
      <c r="CB72" s="40">
        <v>75945000</v>
      </c>
      <c r="CC72" s="87">
        <v>5.5E-2</v>
      </c>
      <c r="CD72" s="40">
        <f>CB72*CC72/2+CD73</f>
        <v>4176700</v>
      </c>
      <c r="CE72" s="40">
        <f t="shared" si="1"/>
        <v>80121700</v>
      </c>
      <c r="CG72" s="85">
        <v>54772</v>
      </c>
      <c r="CL72" s="40">
        <f t="shared" si="2"/>
        <v>0</v>
      </c>
      <c r="CN72" s="85">
        <v>54772</v>
      </c>
      <c r="CS72" s="40">
        <f t="shared" ref="CS72:CS93" si="19">SUM(CO72,CQ72,CR72)</f>
        <v>0</v>
      </c>
      <c r="CT72" s="85"/>
      <c r="CU72" s="85">
        <v>54772</v>
      </c>
      <c r="CV72" s="67"/>
      <c r="CW72" s="67"/>
      <c r="CX72" s="67"/>
      <c r="CY72" s="67"/>
      <c r="DA72" s="85">
        <v>54772</v>
      </c>
      <c r="DB72" s="67"/>
      <c r="DC72" s="67"/>
      <c r="DD72" s="67"/>
      <c r="DE72" s="40">
        <v>0</v>
      </c>
      <c r="DG72" s="85">
        <v>54772</v>
      </c>
      <c r="DH72" s="67"/>
      <c r="DI72" s="67"/>
      <c r="DJ72" s="67"/>
      <c r="DK72" s="40">
        <v>0</v>
      </c>
      <c r="DM72" s="85">
        <v>54772</v>
      </c>
      <c r="DN72" s="67"/>
      <c r="DO72" s="67"/>
      <c r="DP72" s="67"/>
      <c r="DQ72" s="67"/>
      <c r="DR72" s="40">
        <f t="shared" si="4"/>
        <v>0</v>
      </c>
      <c r="DT72" s="85">
        <v>54772</v>
      </c>
      <c r="DU72" s="67"/>
      <c r="DV72" s="67"/>
      <c r="DW72" s="67"/>
      <c r="DX72" s="67"/>
      <c r="DY72" s="40">
        <f t="shared" si="5"/>
        <v>0</v>
      </c>
      <c r="EA72" s="85">
        <v>54772</v>
      </c>
      <c r="EB72" s="67"/>
      <c r="EC72" s="67"/>
      <c r="ED72" s="67"/>
      <c r="EE72" s="67"/>
      <c r="EF72" s="40">
        <f t="shared" si="6"/>
        <v>0</v>
      </c>
      <c r="EH72" s="85">
        <v>54772</v>
      </c>
      <c r="EI72" s="67"/>
      <c r="EJ72" s="67"/>
      <c r="EK72" s="67"/>
      <c r="EL72" s="67"/>
      <c r="EM72" s="40">
        <f t="shared" si="7"/>
        <v>0</v>
      </c>
    </row>
    <row r="73" spans="2:143" x14ac:dyDescent="0.4">
      <c r="B73" s="85">
        <v>54969</v>
      </c>
      <c r="C73" s="85"/>
      <c r="D73" s="85">
        <v>54954</v>
      </c>
      <c r="E73" s="40">
        <f t="shared" si="8"/>
        <v>126960000</v>
      </c>
      <c r="F73" s="40">
        <f t="shared" si="9"/>
        <v>3390398.75</v>
      </c>
      <c r="G73" s="40">
        <f t="shared" si="10"/>
        <v>0</v>
      </c>
      <c r="H73" s="39">
        <v>0</v>
      </c>
      <c r="I73" s="40">
        <f t="shared" si="11"/>
        <v>130350398.75</v>
      </c>
      <c r="J73" s="40">
        <f>SUM(I72:I73)</f>
        <v>264106606.25</v>
      </c>
      <c r="L73" s="85">
        <v>54954</v>
      </c>
      <c r="M73" s="40"/>
      <c r="N73" s="40"/>
      <c r="O73" s="40"/>
      <c r="P73" s="40"/>
      <c r="Q73" s="40">
        <f t="shared" si="12"/>
        <v>0</v>
      </c>
      <c r="S73" s="85">
        <v>54954</v>
      </c>
      <c r="T73" s="40"/>
      <c r="U73" s="40"/>
      <c r="V73" s="40"/>
      <c r="W73" s="40"/>
      <c r="X73" s="40">
        <v>0</v>
      </c>
      <c r="Z73" s="85">
        <v>54954</v>
      </c>
      <c r="AA73" s="40"/>
      <c r="AB73" s="40"/>
      <c r="AC73" s="40"/>
      <c r="AD73" s="40"/>
      <c r="AE73" s="40">
        <v>0</v>
      </c>
      <c r="AG73" s="85">
        <v>54954</v>
      </c>
      <c r="AH73" s="40"/>
      <c r="AI73" s="40"/>
      <c r="AJ73" s="40"/>
      <c r="AK73" s="40"/>
      <c r="AL73" s="40">
        <v>0</v>
      </c>
      <c r="AN73" s="85">
        <v>54954</v>
      </c>
      <c r="AO73" s="40"/>
      <c r="AP73" s="40"/>
      <c r="AQ73" s="40"/>
      <c r="AR73" s="40">
        <v>0</v>
      </c>
      <c r="AT73" s="85">
        <v>54954</v>
      </c>
      <c r="AU73" s="40"/>
      <c r="AV73" s="87">
        <v>0</v>
      </c>
      <c r="AW73" s="40"/>
      <c r="AX73" s="40">
        <v>0</v>
      </c>
      <c r="AZ73" s="85">
        <v>54954</v>
      </c>
      <c r="BA73" s="40"/>
      <c r="BB73" s="87"/>
      <c r="BC73" s="40"/>
      <c r="BD73" s="40"/>
      <c r="BE73" s="40">
        <f t="shared" si="18"/>
        <v>0</v>
      </c>
      <c r="BG73" s="85">
        <v>54954</v>
      </c>
      <c r="BI73" s="40"/>
      <c r="BJ73" s="87"/>
      <c r="BL73" s="40">
        <v>0</v>
      </c>
      <c r="BN73" s="85">
        <v>54954</v>
      </c>
      <c r="BO73" s="40">
        <v>12780000</v>
      </c>
      <c r="BP73" s="87">
        <v>0.05</v>
      </c>
      <c r="BQ73" s="40">
        <v>16295000</v>
      </c>
      <c r="BR73" s="87">
        <v>0.05</v>
      </c>
      <c r="BS73" s="40">
        <v>18445000</v>
      </c>
      <c r="BT73" s="87">
        <v>5.2499999999999998E-2</v>
      </c>
      <c r="BU73" s="40">
        <v>3505000</v>
      </c>
      <c r="BV73" s="87">
        <v>5.1999999999999998E-2</v>
      </c>
      <c r="BW73" s="40">
        <f t="shared" si="17"/>
        <v>1302186.25</v>
      </c>
      <c r="BX73" s="40"/>
      <c r="BY73" s="40">
        <f t="shared" si="14"/>
        <v>52327186.25</v>
      </c>
      <c r="CA73" s="85">
        <v>54954</v>
      </c>
      <c r="CB73" s="40">
        <v>75935000</v>
      </c>
      <c r="CC73" s="87">
        <v>5.5E-2</v>
      </c>
      <c r="CD73" s="40">
        <f>CB73*CC73/2+CD74</f>
        <v>2088212.5</v>
      </c>
      <c r="CE73" s="40">
        <f t="shared" ref="CE73:CE93" si="20">SUM(CB73,CD73)</f>
        <v>78023212.5</v>
      </c>
      <c r="CG73" s="85">
        <v>54954</v>
      </c>
      <c r="CL73" s="40">
        <f t="shared" ref="CL73:CL93" si="21">SUM(CJ73:CK73,CH73)</f>
        <v>0</v>
      </c>
      <c r="CN73" s="85">
        <v>54954</v>
      </c>
      <c r="CS73" s="40">
        <f t="shared" si="19"/>
        <v>0</v>
      </c>
      <c r="CT73" s="85"/>
      <c r="CU73" s="85">
        <v>54954</v>
      </c>
      <c r="DA73" s="85">
        <v>54954</v>
      </c>
      <c r="DE73" s="40">
        <v>0</v>
      </c>
      <c r="DG73" s="85">
        <v>54954</v>
      </c>
      <c r="DK73" s="40">
        <v>0</v>
      </c>
      <c r="DM73" s="85">
        <v>54954</v>
      </c>
      <c r="DR73" s="40">
        <f t="shared" ref="DR73:DR93" si="22">SUM(DN73,DP73,DQ73)</f>
        <v>0</v>
      </c>
      <c r="DT73" s="85">
        <v>54954</v>
      </c>
      <c r="DY73" s="40">
        <f t="shared" ref="DY73:DY93" si="23">SUM(DU73,DW73,DX73)</f>
        <v>0</v>
      </c>
      <c r="EA73" s="85">
        <v>54954</v>
      </c>
      <c r="EB73" s="67"/>
      <c r="EC73" s="67"/>
      <c r="ED73" s="67"/>
      <c r="EE73" s="67"/>
      <c r="EF73" s="40">
        <f t="shared" ref="EF73:EF93" si="24">SUM(EB73,ED73,EE73)</f>
        <v>0</v>
      </c>
      <c r="EH73" s="85">
        <v>54954</v>
      </c>
      <c r="EI73" s="67"/>
      <c r="EJ73" s="67"/>
      <c r="EK73" s="67"/>
      <c r="EL73" s="67"/>
      <c r="EM73" s="40">
        <f t="shared" ref="EM73:EM93" si="25">SUM(EI73,EK73,EL73)</f>
        <v>0</v>
      </c>
    </row>
    <row r="74" spans="2:143" x14ac:dyDescent="0.4">
      <c r="B74" s="85">
        <v>55153</v>
      </c>
      <c r="C74" s="85"/>
      <c r="D74" s="85">
        <v>55137</v>
      </c>
      <c r="E74" s="40">
        <f t="shared" si="8"/>
        <v>0</v>
      </c>
      <c r="F74" s="40">
        <f t="shared" si="9"/>
        <v>0</v>
      </c>
      <c r="G74" s="40">
        <f t="shared" si="10"/>
        <v>0</v>
      </c>
      <c r="H74" s="39">
        <v>0</v>
      </c>
      <c r="I74" s="40">
        <f t="shared" si="11"/>
        <v>0</v>
      </c>
      <c r="J74" s="40"/>
      <c r="L74" s="85">
        <v>55137</v>
      </c>
      <c r="M74" s="40"/>
      <c r="N74" s="40"/>
      <c r="O74" s="40"/>
      <c r="P74" s="40"/>
      <c r="Q74" s="40">
        <f t="shared" si="12"/>
        <v>0</v>
      </c>
      <c r="S74" s="85">
        <v>55137</v>
      </c>
      <c r="T74" s="40"/>
      <c r="U74" s="40"/>
      <c r="V74" s="40"/>
      <c r="W74" s="40"/>
      <c r="X74" s="40">
        <v>0</v>
      </c>
      <c r="Z74" s="85">
        <v>55137</v>
      </c>
      <c r="AA74" s="40"/>
      <c r="AB74" s="40"/>
      <c r="AC74" s="40"/>
      <c r="AD74" s="40"/>
      <c r="AE74" s="40">
        <v>0</v>
      </c>
      <c r="AG74" s="85">
        <v>55137</v>
      </c>
      <c r="AH74" s="40"/>
      <c r="AI74" s="40"/>
      <c r="AJ74" s="40"/>
      <c r="AK74" s="40"/>
      <c r="AL74" s="40">
        <v>0</v>
      </c>
      <c r="AN74" s="85">
        <v>55137</v>
      </c>
      <c r="AO74" s="40"/>
      <c r="AP74" s="40"/>
      <c r="AQ74" s="40"/>
      <c r="AR74" s="40">
        <v>0</v>
      </c>
      <c r="AT74" s="85">
        <v>55137</v>
      </c>
      <c r="AU74" s="40"/>
      <c r="AV74" s="87">
        <v>0</v>
      </c>
      <c r="AW74" s="40"/>
      <c r="AX74" s="40">
        <v>0</v>
      </c>
      <c r="AZ74" s="85">
        <v>55137</v>
      </c>
      <c r="BA74" s="40"/>
      <c r="BB74" s="87"/>
      <c r="BC74" s="40"/>
      <c r="BD74" s="40"/>
      <c r="BE74" s="40">
        <f t="shared" si="18"/>
        <v>0</v>
      </c>
      <c r="BG74" s="85">
        <v>55137</v>
      </c>
      <c r="BI74" s="40"/>
      <c r="BL74" s="40">
        <v>0</v>
      </c>
      <c r="BN74" s="85">
        <v>55137</v>
      </c>
      <c r="BO74" s="40"/>
      <c r="BP74" s="40"/>
      <c r="BQ74" s="40"/>
      <c r="BR74" s="40"/>
      <c r="BS74" s="40"/>
      <c r="BT74" s="40"/>
      <c r="BU74" s="40"/>
      <c r="BV74" s="40"/>
      <c r="BY74" s="40">
        <f t="shared" si="14"/>
        <v>0</v>
      </c>
      <c r="CA74" s="85">
        <v>55137</v>
      </c>
      <c r="CE74" s="40">
        <f t="shared" si="20"/>
        <v>0</v>
      </c>
      <c r="CG74" s="85">
        <v>55137</v>
      </c>
      <c r="CL74" s="40">
        <f t="shared" si="21"/>
        <v>0</v>
      </c>
      <c r="CN74" s="85">
        <v>55137</v>
      </c>
      <c r="CS74" s="40">
        <f t="shared" si="19"/>
        <v>0</v>
      </c>
      <c r="CT74" s="85"/>
      <c r="CU74" s="85">
        <v>55137</v>
      </c>
      <c r="DA74" s="85">
        <v>55137</v>
      </c>
      <c r="DE74" s="40">
        <v>0</v>
      </c>
      <c r="DG74" s="85">
        <v>55137</v>
      </c>
      <c r="DK74" s="40">
        <v>0</v>
      </c>
      <c r="DM74" s="85">
        <v>55137</v>
      </c>
      <c r="DR74" s="40">
        <f t="shared" si="22"/>
        <v>0</v>
      </c>
      <c r="DT74" s="85">
        <v>55137</v>
      </c>
      <c r="DY74" s="40">
        <f t="shared" si="23"/>
        <v>0</v>
      </c>
      <c r="EA74" s="85">
        <v>55137</v>
      </c>
      <c r="EF74" s="40">
        <f t="shared" si="24"/>
        <v>0</v>
      </c>
      <c r="EH74" s="85">
        <v>55137</v>
      </c>
      <c r="EI74" s="67"/>
      <c r="EJ74" s="67"/>
      <c r="EK74" s="67"/>
      <c r="EL74" s="67"/>
      <c r="EM74" s="40">
        <f t="shared" si="25"/>
        <v>0</v>
      </c>
    </row>
    <row r="75" spans="2:143" x14ac:dyDescent="0.4">
      <c r="B75" s="85">
        <v>55334</v>
      </c>
      <c r="C75" s="85"/>
      <c r="D75" s="85">
        <v>55319</v>
      </c>
      <c r="E75" s="40">
        <f t="shared" si="8"/>
        <v>0</v>
      </c>
      <c r="F75" s="40">
        <f t="shared" si="9"/>
        <v>0</v>
      </c>
      <c r="G75" s="40">
        <f t="shared" si="10"/>
        <v>0</v>
      </c>
      <c r="H75" s="39">
        <v>0</v>
      </c>
      <c r="I75" s="40">
        <f t="shared" si="11"/>
        <v>0</v>
      </c>
      <c r="J75" s="40">
        <f>SUM(I74:I75)</f>
        <v>0</v>
      </c>
      <c r="L75" s="85">
        <v>55319</v>
      </c>
      <c r="M75" s="40"/>
      <c r="N75" s="40"/>
      <c r="O75" s="40"/>
      <c r="P75" s="40"/>
      <c r="Q75" s="40">
        <f t="shared" si="12"/>
        <v>0</v>
      </c>
      <c r="S75" s="85">
        <v>55319</v>
      </c>
      <c r="T75" s="40"/>
      <c r="U75" s="40"/>
      <c r="V75" s="40"/>
      <c r="W75" s="40"/>
      <c r="X75" s="40">
        <v>0</v>
      </c>
      <c r="Z75" s="85">
        <v>55319</v>
      </c>
      <c r="AA75" s="40"/>
      <c r="AB75" s="40"/>
      <c r="AC75" s="40"/>
      <c r="AD75" s="40"/>
      <c r="AE75" s="40">
        <v>0</v>
      </c>
      <c r="AG75" s="85">
        <v>55319</v>
      </c>
      <c r="AH75" s="40"/>
      <c r="AI75" s="40"/>
      <c r="AJ75" s="40"/>
      <c r="AK75" s="40"/>
      <c r="AL75" s="40">
        <v>0</v>
      </c>
      <c r="AN75" s="85">
        <v>55319</v>
      </c>
      <c r="AO75" s="40"/>
      <c r="AP75" s="40"/>
      <c r="AQ75" s="40"/>
      <c r="AR75" s="40">
        <v>0</v>
      </c>
      <c r="AT75" s="85">
        <v>55319</v>
      </c>
      <c r="AU75" s="40"/>
      <c r="AV75" s="87">
        <v>0</v>
      </c>
      <c r="AW75" s="40"/>
      <c r="AX75" s="40">
        <v>0</v>
      </c>
      <c r="AZ75" s="85">
        <v>55319</v>
      </c>
      <c r="BA75" s="40"/>
      <c r="BB75" s="87"/>
      <c r="BC75" s="40"/>
      <c r="BD75" s="40"/>
      <c r="BE75" s="40">
        <f t="shared" si="18"/>
        <v>0</v>
      </c>
      <c r="BG75" s="85">
        <v>55319</v>
      </c>
      <c r="BI75" s="40"/>
      <c r="BL75" s="40">
        <v>0</v>
      </c>
      <c r="BN75" s="85">
        <v>55319</v>
      </c>
      <c r="BO75" s="40"/>
      <c r="BP75" s="40"/>
      <c r="BQ75" s="40"/>
      <c r="BR75" s="40"/>
      <c r="BS75" s="40"/>
      <c r="BT75" s="40"/>
      <c r="BU75" s="40"/>
      <c r="BV75" s="40"/>
      <c r="BY75" s="40">
        <f t="shared" si="14"/>
        <v>0</v>
      </c>
      <c r="CA75" s="85">
        <v>55319</v>
      </c>
      <c r="CE75" s="40">
        <f t="shared" si="20"/>
        <v>0</v>
      </c>
      <c r="CG75" s="85">
        <v>55319</v>
      </c>
      <c r="CL75" s="40">
        <f t="shared" si="21"/>
        <v>0</v>
      </c>
      <c r="CN75" s="85">
        <v>55319</v>
      </c>
      <c r="CS75" s="40">
        <f t="shared" si="19"/>
        <v>0</v>
      </c>
      <c r="CT75" s="85"/>
      <c r="CU75" s="85">
        <v>55319</v>
      </c>
      <c r="DA75" s="85">
        <v>55319</v>
      </c>
      <c r="DE75" s="40">
        <v>0</v>
      </c>
      <c r="DG75" s="85">
        <v>55319</v>
      </c>
      <c r="DK75" s="40">
        <v>0</v>
      </c>
      <c r="DM75" s="85">
        <v>55319</v>
      </c>
      <c r="DR75" s="40">
        <f t="shared" si="22"/>
        <v>0</v>
      </c>
      <c r="DT75" s="85">
        <v>55319</v>
      </c>
      <c r="DY75" s="40">
        <f t="shared" si="23"/>
        <v>0</v>
      </c>
      <c r="EA75" s="85">
        <v>55319</v>
      </c>
      <c r="EF75" s="40">
        <f t="shared" si="24"/>
        <v>0</v>
      </c>
      <c r="EH75" s="85">
        <v>55319</v>
      </c>
      <c r="EM75" s="40">
        <f t="shared" si="25"/>
        <v>0</v>
      </c>
    </row>
    <row r="76" spans="2:143" x14ac:dyDescent="0.4">
      <c r="B76" s="85">
        <v>55518</v>
      </c>
      <c r="C76" s="85"/>
      <c r="D76" s="85">
        <v>55502</v>
      </c>
      <c r="E76" s="40">
        <f t="shared" si="8"/>
        <v>0</v>
      </c>
      <c r="F76" s="40">
        <f t="shared" si="9"/>
        <v>0</v>
      </c>
      <c r="G76" s="40">
        <f t="shared" si="10"/>
        <v>0</v>
      </c>
      <c r="H76" s="39">
        <v>0</v>
      </c>
      <c r="I76" s="40">
        <f t="shared" si="11"/>
        <v>0</v>
      </c>
      <c r="J76" s="40"/>
      <c r="L76" s="85">
        <v>55502</v>
      </c>
      <c r="M76" s="40"/>
      <c r="N76" s="40"/>
      <c r="O76" s="40"/>
      <c r="P76" s="40"/>
      <c r="Q76" s="40">
        <f t="shared" si="12"/>
        <v>0</v>
      </c>
      <c r="S76" s="85">
        <v>55502</v>
      </c>
      <c r="T76" s="40"/>
      <c r="U76" s="40"/>
      <c r="V76" s="40"/>
      <c r="W76" s="40"/>
      <c r="X76" s="40">
        <v>0</v>
      </c>
      <c r="Z76" s="85">
        <v>55502</v>
      </c>
      <c r="AA76" s="40"/>
      <c r="AB76" s="40"/>
      <c r="AC76" s="40"/>
      <c r="AD76" s="40"/>
      <c r="AE76" s="40">
        <v>0</v>
      </c>
      <c r="AG76" s="85">
        <v>55502</v>
      </c>
      <c r="AH76" s="40"/>
      <c r="AI76" s="40"/>
      <c r="AJ76" s="40"/>
      <c r="AK76" s="40"/>
      <c r="AL76" s="40">
        <v>0</v>
      </c>
      <c r="AN76" s="85">
        <v>55502</v>
      </c>
      <c r="AO76" s="40"/>
      <c r="AP76" s="40"/>
      <c r="AQ76" s="40"/>
      <c r="AR76" s="40">
        <v>0</v>
      </c>
      <c r="AT76" s="85">
        <v>55502</v>
      </c>
      <c r="AU76" s="40"/>
      <c r="AV76" s="87">
        <v>0</v>
      </c>
      <c r="AW76" s="40"/>
      <c r="AX76" s="40">
        <v>0</v>
      </c>
      <c r="AZ76" s="85">
        <v>55502</v>
      </c>
      <c r="BA76" s="40"/>
      <c r="BB76" s="87"/>
      <c r="BC76" s="40"/>
      <c r="BD76" s="40"/>
      <c r="BE76" s="40">
        <f t="shared" si="18"/>
        <v>0</v>
      </c>
      <c r="BG76" s="85">
        <v>55502</v>
      </c>
      <c r="BI76" s="40"/>
      <c r="BL76" s="40">
        <v>0</v>
      </c>
      <c r="BN76" s="85">
        <v>55502</v>
      </c>
      <c r="BO76" s="40"/>
      <c r="BP76" s="40"/>
      <c r="BQ76" s="40"/>
      <c r="BR76" s="40"/>
      <c r="BS76" s="40"/>
      <c r="BT76" s="40"/>
      <c r="BU76" s="40"/>
      <c r="BV76" s="40"/>
      <c r="BY76" s="40">
        <f t="shared" si="14"/>
        <v>0</v>
      </c>
      <c r="CA76" s="85">
        <v>55502</v>
      </c>
      <c r="CE76" s="40">
        <f t="shared" si="20"/>
        <v>0</v>
      </c>
      <c r="CG76" s="85">
        <v>55502</v>
      </c>
      <c r="CL76" s="40">
        <f t="shared" si="21"/>
        <v>0</v>
      </c>
      <c r="CN76" s="85">
        <v>55502</v>
      </c>
      <c r="CS76" s="40">
        <f t="shared" si="19"/>
        <v>0</v>
      </c>
      <c r="CT76" s="85"/>
      <c r="CU76" s="85">
        <v>55502</v>
      </c>
      <c r="DA76" s="85">
        <v>55502</v>
      </c>
      <c r="DE76" s="40">
        <v>0</v>
      </c>
      <c r="DG76" s="85">
        <v>55502</v>
      </c>
      <c r="DK76" s="40">
        <v>0</v>
      </c>
      <c r="DM76" s="85">
        <v>55502</v>
      </c>
      <c r="DR76" s="40">
        <f t="shared" si="22"/>
        <v>0</v>
      </c>
      <c r="DT76" s="85">
        <v>55502</v>
      </c>
      <c r="DY76" s="40">
        <f t="shared" si="23"/>
        <v>0</v>
      </c>
      <c r="EA76" s="85">
        <v>55502</v>
      </c>
      <c r="EF76" s="40">
        <f t="shared" si="24"/>
        <v>0</v>
      </c>
      <c r="EH76" s="85">
        <v>55502</v>
      </c>
      <c r="EM76" s="40">
        <f t="shared" si="25"/>
        <v>0</v>
      </c>
    </row>
    <row r="77" spans="2:143" x14ac:dyDescent="0.4">
      <c r="B77" s="85">
        <v>55700</v>
      </c>
      <c r="C77" s="85"/>
      <c r="D77" s="85">
        <v>55685</v>
      </c>
      <c r="E77" s="40">
        <f t="shared" ref="E77:E93" si="26">SUM(M77,T77,AA77,AH77,AO77,AU77,BA77,BH77,BO77,BQ77,BS77,BU77,CB77,CH77,CO77,CV77,DB77,DH77,DN77,DU77,EB77,EI77)</f>
        <v>0</v>
      </c>
      <c r="F77" s="40">
        <f t="shared" ref="F77:F93" si="27">SUM(O77,V77,AC77,AJ77,AQ77,AW77,BC77,BK77,BW77,CD77,CJ77,CQ77,CX77,DD77,DJ77,DP77,DW77,ED77,EK77)</f>
        <v>0</v>
      </c>
      <c r="G77" s="40">
        <f t="shared" ref="G77:G93" si="28">SUM(P77,W77,AD77,AK77,BD77,BX77,CK77,CR77,DQ77,DX77,EE77,EL77)</f>
        <v>0</v>
      </c>
      <c r="H77" s="39">
        <v>0</v>
      </c>
      <c r="I77" s="40">
        <f t="shared" ref="I77:I93" si="29">SUM(E77:H77)</f>
        <v>0</v>
      </c>
      <c r="J77" s="40">
        <f>SUM(I76:I77)</f>
        <v>0</v>
      </c>
      <c r="L77" s="85">
        <v>55685</v>
      </c>
      <c r="M77" s="40"/>
      <c r="N77" s="40"/>
      <c r="O77" s="40"/>
      <c r="P77" s="40"/>
      <c r="Q77" s="40">
        <f t="shared" ref="Q77:Q93" si="30">SUM(M77,O77,P77)</f>
        <v>0</v>
      </c>
      <c r="S77" s="85">
        <v>55685</v>
      </c>
      <c r="T77" s="40"/>
      <c r="U77" s="40"/>
      <c r="V77" s="40"/>
      <c r="W77" s="40"/>
      <c r="X77" s="40">
        <v>0</v>
      </c>
      <c r="Z77" s="85">
        <v>55685</v>
      </c>
      <c r="AA77" s="40"/>
      <c r="AB77" s="40"/>
      <c r="AC77" s="40"/>
      <c r="AD77" s="40"/>
      <c r="AE77" s="40">
        <v>0</v>
      </c>
      <c r="AG77" s="85">
        <v>55685</v>
      </c>
      <c r="AH77" s="40"/>
      <c r="AI77" s="40"/>
      <c r="AJ77" s="40"/>
      <c r="AK77" s="40"/>
      <c r="AL77" s="40">
        <v>0</v>
      </c>
      <c r="AN77" s="85">
        <v>55685</v>
      </c>
      <c r="AO77" s="40"/>
      <c r="AP77" s="40"/>
      <c r="AQ77" s="40"/>
      <c r="AR77" s="40">
        <v>0</v>
      </c>
      <c r="AT77" s="85">
        <v>55685</v>
      </c>
      <c r="AU77" s="40"/>
      <c r="AV77" s="87">
        <v>0</v>
      </c>
      <c r="AW77" s="40"/>
      <c r="AX77" s="40">
        <v>0</v>
      </c>
      <c r="AZ77" s="85">
        <v>55685</v>
      </c>
      <c r="BA77" s="40"/>
      <c r="BB77" s="87"/>
      <c r="BC77" s="40"/>
      <c r="BD77" s="40"/>
      <c r="BE77" s="40">
        <f t="shared" si="18"/>
        <v>0</v>
      </c>
      <c r="BG77" s="85">
        <v>55685</v>
      </c>
      <c r="BI77" s="40"/>
      <c r="BL77" s="40">
        <v>0</v>
      </c>
      <c r="BN77" s="85">
        <v>55685</v>
      </c>
      <c r="BO77" s="40"/>
      <c r="BP77" s="40"/>
      <c r="BQ77" s="40"/>
      <c r="BR77" s="40"/>
      <c r="BS77" s="40"/>
      <c r="BT77" s="40"/>
      <c r="BU77" s="40"/>
      <c r="BV77" s="40"/>
      <c r="BY77" s="40">
        <f t="shared" ref="BY77:BY93" si="31">SUM(BO77,BQ77,BS77,BU77,BW77)</f>
        <v>0</v>
      </c>
      <c r="CA77" s="85">
        <v>55685</v>
      </c>
      <c r="CE77" s="40">
        <f t="shared" si="20"/>
        <v>0</v>
      </c>
      <c r="CG77" s="85">
        <v>55685</v>
      </c>
      <c r="CL77" s="40">
        <f t="shared" si="21"/>
        <v>0</v>
      </c>
      <c r="CN77" s="85">
        <v>55685</v>
      </c>
      <c r="CS77" s="40">
        <f t="shared" si="19"/>
        <v>0</v>
      </c>
      <c r="CT77" s="85"/>
      <c r="CU77" s="85">
        <v>55685</v>
      </c>
      <c r="DA77" s="85">
        <v>55685</v>
      </c>
      <c r="DE77" s="40">
        <v>0</v>
      </c>
      <c r="DG77" s="85">
        <v>55685</v>
      </c>
      <c r="DK77" s="40">
        <v>0</v>
      </c>
      <c r="DM77" s="85">
        <v>55685</v>
      </c>
      <c r="DR77" s="40">
        <f t="shared" si="22"/>
        <v>0</v>
      </c>
      <c r="DT77" s="85">
        <v>55685</v>
      </c>
      <c r="DY77" s="40">
        <f t="shared" si="23"/>
        <v>0</v>
      </c>
      <c r="EA77" s="85">
        <v>55685</v>
      </c>
      <c r="EF77" s="40">
        <f t="shared" si="24"/>
        <v>0</v>
      </c>
      <c r="EH77" s="85">
        <v>55685</v>
      </c>
      <c r="EM77" s="40">
        <f t="shared" si="25"/>
        <v>0</v>
      </c>
    </row>
    <row r="78" spans="2:143" x14ac:dyDescent="0.4">
      <c r="B78" s="85">
        <v>55884</v>
      </c>
      <c r="C78" s="85"/>
      <c r="D78" s="85">
        <v>55868</v>
      </c>
      <c r="E78" s="40">
        <f t="shared" si="26"/>
        <v>0</v>
      </c>
      <c r="F78" s="40">
        <f t="shared" si="27"/>
        <v>0</v>
      </c>
      <c r="G78" s="40">
        <f t="shared" si="28"/>
        <v>0</v>
      </c>
      <c r="H78" s="39">
        <v>0</v>
      </c>
      <c r="I78" s="40">
        <f t="shared" si="29"/>
        <v>0</v>
      </c>
      <c r="J78" s="40"/>
      <c r="L78" s="85">
        <v>55868</v>
      </c>
      <c r="M78" s="40"/>
      <c r="N78" s="40"/>
      <c r="O78" s="40"/>
      <c r="P78" s="40"/>
      <c r="Q78" s="40">
        <f t="shared" si="30"/>
        <v>0</v>
      </c>
      <c r="S78" s="85">
        <v>55868</v>
      </c>
      <c r="T78" s="40"/>
      <c r="U78" s="40"/>
      <c r="V78" s="40"/>
      <c r="W78" s="40"/>
      <c r="X78" s="40">
        <v>0</v>
      </c>
      <c r="Z78" s="85">
        <v>55868</v>
      </c>
      <c r="AA78" s="40"/>
      <c r="AB78" s="40"/>
      <c r="AC78" s="40"/>
      <c r="AD78" s="40"/>
      <c r="AE78" s="40">
        <v>0</v>
      </c>
      <c r="AG78" s="85">
        <v>55868</v>
      </c>
      <c r="AH78" s="40"/>
      <c r="AI78" s="40"/>
      <c r="AJ78" s="40"/>
      <c r="AK78" s="40"/>
      <c r="AL78" s="40">
        <v>0</v>
      </c>
      <c r="AN78" s="85">
        <v>55868</v>
      </c>
      <c r="AO78" s="40"/>
      <c r="AP78" s="40"/>
      <c r="AQ78" s="40"/>
      <c r="AR78" s="40">
        <v>0</v>
      </c>
      <c r="AT78" s="85">
        <v>55868</v>
      </c>
      <c r="AU78" s="40"/>
      <c r="AV78" s="87">
        <v>0</v>
      </c>
      <c r="AW78" s="40"/>
      <c r="AX78" s="40">
        <v>0</v>
      </c>
      <c r="AZ78" s="85">
        <v>55868</v>
      </c>
      <c r="BA78" s="40"/>
      <c r="BB78" s="87"/>
      <c r="BC78" s="40"/>
      <c r="BD78" s="40"/>
      <c r="BE78" s="40">
        <f t="shared" si="18"/>
        <v>0</v>
      </c>
      <c r="BG78" s="85">
        <v>55868</v>
      </c>
      <c r="BI78" s="40"/>
      <c r="BJ78" s="87"/>
      <c r="BL78" s="40">
        <v>0</v>
      </c>
      <c r="BN78" s="85">
        <v>55868</v>
      </c>
      <c r="BO78" s="40"/>
      <c r="BP78" s="87"/>
      <c r="BQ78" s="40"/>
      <c r="BR78" s="87"/>
      <c r="BS78" s="40"/>
      <c r="BT78" s="87"/>
      <c r="BU78" s="40"/>
      <c r="BV78" s="87"/>
      <c r="BW78" s="40"/>
      <c r="BY78" s="40">
        <f t="shared" si="31"/>
        <v>0</v>
      </c>
      <c r="CA78" s="85">
        <v>55868</v>
      </c>
      <c r="CB78" s="40"/>
      <c r="CC78" s="87"/>
      <c r="CD78" s="40"/>
      <c r="CE78" s="40">
        <f t="shared" si="20"/>
        <v>0</v>
      </c>
      <c r="CG78" s="85">
        <v>55868</v>
      </c>
      <c r="CL78" s="40">
        <f t="shared" si="21"/>
        <v>0</v>
      </c>
      <c r="CN78" s="85">
        <v>55868</v>
      </c>
      <c r="CS78" s="40">
        <f t="shared" si="19"/>
        <v>0</v>
      </c>
      <c r="CT78" s="85"/>
      <c r="CU78" s="85">
        <v>55868</v>
      </c>
      <c r="CV78" s="67"/>
      <c r="CW78" s="67"/>
      <c r="CX78" s="67"/>
      <c r="CY78" s="67"/>
      <c r="DA78" s="85">
        <v>55868</v>
      </c>
      <c r="DB78" s="67"/>
      <c r="DC78" s="67"/>
      <c r="DD78" s="67"/>
      <c r="DE78" s="40">
        <v>0</v>
      </c>
      <c r="DG78" s="85">
        <v>55868</v>
      </c>
      <c r="DH78" s="67"/>
      <c r="DI78" s="67"/>
      <c r="DJ78" s="67"/>
      <c r="DK78" s="40">
        <v>0</v>
      </c>
      <c r="DM78" s="85">
        <v>55868</v>
      </c>
      <c r="DN78" s="67"/>
      <c r="DO78" s="67"/>
      <c r="DP78" s="67"/>
      <c r="DQ78" s="67"/>
      <c r="DR78" s="40">
        <f t="shared" si="22"/>
        <v>0</v>
      </c>
      <c r="DT78" s="85">
        <v>55868</v>
      </c>
      <c r="DU78" s="67"/>
      <c r="DV78" s="67"/>
      <c r="DW78" s="67"/>
      <c r="DX78" s="67"/>
      <c r="DY78" s="40">
        <f t="shared" si="23"/>
        <v>0</v>
      </c>
      <c r="EA78" s="85">
        <v>55868</v>
      </c>
      <c r="EB78" s="67"/>
      <c r="EC78" s="67"/>
      <c r="ED78" s="67"/>
      <c r="EE78" s="67"/>
      <c r="EF78" s="40">
        <f t="shared" si="24"/>
        <v>0</v>
      </c>
      <c r="EH78" s="85">
        <v>55868</v>
      </c>
      <c r="EI78" s="67"/>
      <c r="EJ78" s="67"/>
      <c r="EK78" s="67"/>
      <c r="EL78" s="67"/>
      <c r="EM78" s="40">
        <f t="shared" si="25"/>
        <v>0</v>
      </c>
    </row>
    <row r="79" spans="2:143" x14ac:dyDescent="0.4">
      <c r="B79" s="85">
        <v>56065</v>
      </c>
      <c r="C79" s="85"/>
      <c r="D79" s="85">
        <v>56050</v>
      </c>
      <c r="E79" s="40">
        <f t="shared" si="26"/>
        <v>0</v>
      </c>
      <c r="F79" s="40">
        <f t="shared" si="27"/>
        <v>0</v>
      </c>
      <c r="G79" s="40">
        <f t="shared" si="28"/>
        <v>0</v>
      </c>
      <c r="H79" s="39">
        <v>0</v>
      </c>
      <c r="I79" s="40">
        <f t="shared" si="29"/>
        <v>0</v>
      </c>
      <c r="J79" s="40">
        <f>SUM(I78:I79)</f>
        <v>0</v>
      </c>
      <c r="L79" s="85">
        <v>56050</v>
      </c>
      <c r="M79" s="40"/>
      <c r="N79" s="40"/>
      <c r="O79" s="40"/>
      <c r="P79" s="40"/>
      <c r="Q79" s="40">
        <f t="shared" si="30"/>
        <v>0</v>
      </c>
      <c r="S79" s="85">
        <v>56050</v>
      </c>
      <c r="T79" s="40"/>
      <c r="U79" s="40"/>
      <c r="V79" s="40"/>
      <c r="W79" s="40"/>
      <c r="X79" s="40">
        <v>0</v>
      </c>
      <c r="Z79" s="85">
        <v>56050</v>
      </c>
      <c r="AA79" s="40"/>
      <c r="AB79" s="40"/>
      <c r="AC79" s="40"/>
      <c r="AD79" s="40"/>
      <c r="AE79" s="40">
        <v>0</v>
      </c>
      <c r="AG79" s="85">
        <v>56050</v>
      </c>
      <c r="AH79" s="40"/>
      <c r="AI79" s="40"/>
      <c r="AJ79" s="40"/>
      <c r="AK79" s="40"/>
      <c r="AL79" s="40">
        <v>0</v>
      </c>
      <c r="AN79" s="85">
        <v>56050</v>
      </c>
      <c r="AO79" s="40"/>
      <c r="AP79" s="40"/>
      <c r="AQ79" s="40"/>
      <c r="AR79" s="40">
        <v>0</v>
      </c>
      <c r="AT79" s="85">
        <v>56050</v>
      </c>
      <c r="AU79" s="40"/>
      <c r="AV79" s="87">
        <v>0</v>
      </c>
      <c r="AW79" s="40"/>
      <c r="AX79" s="40">
        <v>0</v>
      </c>
      <c r="AZ79" s="85">
        <v>56050</v>
      </c>
      <c r="BA79" s="40"/>
      <c r="BB79" s="87"/>
      <c r="BC79" s="40"/>
      <c r="BD79" s="40"/>
      <c r="BE79" s="40">
        <f t="shared" si="18"/>
        <v>0</v>
      </c>
      <c r="BG79" s="85">
        <v>56050</v>
      </c>
      <c r="BI79" s="40"/>
      <c r="BJ79" s="87"/>
      <c r="BL79" s="40">
        <v>0</v>
      </c>
      <c r="BN79" s="85">
        <v>56050</v>
      </c>
      <c r="BO79" s="40"/>
      <c r="BP79" s="87"/>
      <c r="BQ79" s="40"/>
      <c r="BR79" s="87"/>
      <c r="BS79" s="40"/>
      <c r="BT79" s="87"/>
      <c r="BU79" s="40"/>
      <c r="BV79" s="87"/>
      <c r="BW79" s="40"/>
      <c r="BY79" s="40">
        <f t="shared" si="31"/>
        <v>0</v>
      </c>
      <c r="CA79" s="85">
        <v>56050</v>
      </c>
      <c r="CB79" s="40"/>
      <c r="CC79" s="87"/>
      <c r="CD79" s="40"/>
      <c r="CE79" s="40">
        <f t="shared" si="20"/>
        <v>0</v>
      </c>
      <c r="CG79" s="85">
        <v>56050</v>
      </c>
      <c r="CL79" s="40">
        <f t="shared" si="21"/>
        <v>0</v>
      </c>
      <c r="CN79" s="85">
        <v>56050</v>
      </c>
      <c r="CS79" s="40">
        <f t="shared" si="19"/>
        <v>0</v>
      </c>
      <c r="CT79" s="85"/>
      <c r="CU79" s="85">
        <v>56050</v>
      </c>
      <c r="CV79" s="67"/>
      <c r="CW79" s="67"/>
      <c r="CX79" s="67"/>
      <c r="CY79" s="67"/>
      <c r="DA79" s="85">
        <v>56050</v>
      </c>
      <c r="DB79" s="67"/>
      <c r="DC79" s="67"/>
      <c r="DD79" s="67"/>
      <c r="DE79" s="40">
        <v>0</v>
      </c>
      <c r="DG79" s="85">
        <v>56050</v>
      </c>
      <c r="DH79" s="67"/>
      <c r="DI79" s="67"/>
      <c r="DJ79" s="67"/>
      <c r="DK79" s="40">
        <v>0</v>
      </c>
      <c r="DM79" s="85">
        <v>56050</v>
      </c>
      <c r="DN79" s="67"/>
      <c r="DO79" s="67"/>
      <c r="DP79" s="67"/>
      <c r="DQ79" s="67"/>
      <c r="DR79" s="40">
        <f t="shared" si="22"/>
        <v>0</v>
      </c>
      <c r="DT79" s="85">
        <v>56050</v>
      </c>
      <c r="DU79" s="67"/>
      <c r="DV79" s="67"/>
      <c r="DW79" s="67"/>
      <c r="DX79" s="67"/>
      <c r="DY79" s="40">
        <f t="shared" si="23"/>
        <v>0</v>
      </c>
      <c r="EA79" s="85">
        <v>56050</v>
      </c>
      <c r="EB79" s="67"/>
      <c r="EC79" s="67"/>
      <c r="ED79" s="67"/>
      <c r="EE79" s="67"/>
      <c r="EF79" s="40">
        <f t="shared" si="24"/>
        <v>0</v>
      </c>
      <c r="EH79" s="85">
        <v>56050</v>
      </c>
      <c r="EI79" s="67"/>
      <c r="EJ79" s="67"/>
      <c r="EK79" s="67"/>
      <c r="EL79" s="67"/>
      <c r="EM79" s="40">
        <f t="shared" si="25"/>
        <v>0</v>
      </c>
    </row>
    <row r="80" spans="2:143" x14ac:dyDescent="0.4">
      <c r="B80" s="85">
        <v>56249</v>
      </c>
      <c r="C80" s="85"/>
      <c r="D80" s="85">
        <v>56233</v>
      </c>
      <c r="E80" s="40">
        <f t="shared" si="26"/>
        <v>0</v>
      </c>
      <c r="F80" s="40">
        <f t="shared" si="27"/>
        <v>0</v>
      </c>
      <c r="G80" s="40">
        <f t="shared" si="28"/>
        <v>0</v>
      </c>
      <c r="H80" s="39">
        <v>0</v>
      </c>
      <c r="I80" s="40">
        <f t="shared" si="29"/>
        <v>0</v>
      </c>
      <c r="J80" s="40"/>
      <c r="L80" s="85">
        <v>56233</v>
      </c>
      <c r="M80" s="40"/>
      <c r="N80" s="40"/>
      <c r="O80" s="40"/>
      <c r="P80" s="40"/>
      <c r="Q80" s="40">
        <f t="shared" si="30"/>
        <v>0</v>
      </c>
      <c r="S80" s="85">
        <v>56233</v>
      </c>
      <c r="T80" s="40"/>
      <c r="U80" s="40"/>
      <c r="V80" s="40"/>
      <c r="W80" s="40"/>
      <c r="X80" s="40">
        <v>0</v>
      </c>
      <c r="Z80" s="85">
        <v>56233</v>
      </c>
      <c r="AA80" s="40"/>
      <c r="AB80" s="40"/>
      <c r="AC80" s="40"/>
      <c r="AD80" s="40"/>
      <c r="AE80" s="40">
        <v>0</v>
      </c>
      <c r="AG80" s="85">
        <v>56233</v>
      </c>
      <c r="AH80" s="40"/>
      <c r="AI80" s="40"/>
      <c r="AJ80" s="40"/>
      <c r="AK80" s="40"/>
      <c r="AL80" s="40">
        <v>0</v>
      </c>
      <c r="AN80" s="85">
        <v>56233</v>
      </c>
      <c r="AO80" s="40"/>
      <c r="AP80" s="40"/>
      <c r="AQ80" s="40"/>
      <c r="AR80" s="40">
        <v>0</v>
      </c>
      <c r="AT80" s="85">
        <v>56233</v>
      </c>
      <c r="AU80" s="40"/>
      <c r="AV80" s="87">
        <v>0</v>
      </c>
      <c r="AW80" s="40"/>
      <c r="AX80" s="40">
        <v>0</v>
      </c>
      <c r="AZ80" s="85">
        <v>56233</v>
      </c>
      <c r="BA80" s="40"/>
      <c r="BB80" s="87"/>
      <c r="BC80" s="40"/>
      <c r="BD80" s="40"/>
      <c r="BE80" s="40">
        <f t="shared" si="18"/>
        <v>0</v>
      </c>
      <c r="BG80" s="85">
        <v>56233</v>
      </c>
      <c r="BI80" s="40"/>
      <c r="BJ80" s="87"/>
      <c r="BL80" s="40">
        <v>0</v>
      </c>
      <c r="BN80" s="85">
        <v>56233</v>
      </c>
      <c r="BO80" s="40"/>
      <c r="BP80" s="87"/>
      <c r="BQ80" s="40"/>
      <c r="BR80" s="87"/>
      <c r="BS80" s="40"/>
      <c r="BT80" s="87"/>
      <c r="BU80" s="40"/>
      <c r="BV80" s="87"/>
      <c r="BW80" s="40"/>
      <c r="BY80" s="40">
        <f t="shared" si="31"/>
        <v>0</v>
      </c>
      <c r="CA80" s="85">
        <v>56233</v>
      </c>
      <c r="CB80" s="40"/>
      <c r="CC80" s="87"/>
      <c r="CD80" s="40"/>
      <c r="CE80" s="40">
        <f t="shared" si="20"/>
        <v>0</v>
      </c>
      <c r="CG80" s="85">
        <v>56233</v>
      </c>
      <c r="CL80" s="40">
        <f t="shared" si="21"/>
        <v>0</v>
      </c>
      <c r="CN80" s="85">
        <v>56233</v>
      </c>
      <c r="CS80" s="40">
        <f t="shared" si="19"/>
        <v>0</v>
      </c>
      <c r="CT80" s="85"/>
      <c r="CU80" s="85">
        <v>56233</v>
      </c>
      <c r="CV80" s="67"/>
      <c r="CW80" s="67"/>
      <c r="CX80" s="67"/>
      <c r="CY80" s="67"/>
      <c r="DA80" s="85">
        <v>56233</v>
      </c>
      <c r="DB80" s="67"/>
      <c r="DC80" s="67"/>
      <c r="DD80" s="67"/>
      <c r="DE80" s="40">
        <v>0</v>
      </c>
      <c r="DG80" s="85">
        <v>56233</v>
      </c>
      <c r="DH80" s="67"/>
      <c r="DI80" s="67"/>
      <c r="DJ80" s="67"/>
      <c r="DK80" s="40">
        <v>0</v>
      </c>
      <c r="DM80" s="85">
        <v>56233</v>
      </c>
      <c r="DN80" s="67"/>
      <c r="DO80" s="67"/>
      <c r="DP80" s="67"/>
      <c r="DQ80" s="67"/>
      <c r="DR80" s="40">
        <f t="shared" si="22"/>
        <v>0</v>
      </c>
      <c r="DT80" s="85">
        <v>56233</v>
      </c>
      <c r="DU80" s="67"/>
      <c r="DV80" s="67"/>
      <c r="DW80" s="67"/>
      <c r="DX80" s="67"/>
      <c r="DY80" s="40">
        <f t="shared" si="23"/>
        <v>0</v>
      </c>
      <c r="EA80" s="85">
        <v>56233</v>
      </c>
      <c r="EB80" s="67"/>
      <c r="EC80" s="67"/>
      <c r="ED80" s="67"/>
      <c r="EE80" s="67"/>
      <c r="EF80" s="40">
        <f t="shared" si="24"/>
        <v>0</v>
      </c>
      <c r="EH80" s="85">
        <v>56233</v>
      </c>
      <c r="EI80" s="67"/>
      <c r="EJ80" s="67"/>
      <c r="EK80" s="67"/>
      <c r="EL80" s="67"/>
      <c r="EM80" s="40">
        <f t="shared" si="25"/>
        <v>0</v>
      </c>
    </row>
    <row r="81" spans="2:143" x14ac:dyDescent="0.4">
      <c r="B81" s="85">
        <v>56430</v>
      </c>
      <c r="C81" s="85"/>
      <c r="D81" s="85">
        <v>56415</v>
      </c>
      <c r="E81" s="40">
        <f t="shared" si="26"/>
        <v>0</v>
      </c>
      <c r="F81" s="40">
        <f t="shared" si="27"/>
        <v>0</v>
      </c>
      <c r="G81" s="40">
        <f t="shared" si="28"/>
        <v>0</v>
      </c>
      <c r="H81" s="39">
        <v>0</v>
      </c>
      <c r="I81" s="40">
        <f t="shared" si="29"/>
        <v>0</v>
      </c>
      <c r="J81" s="40">
        <f>SUM(I80:I81)</f>
        <v>0</v>
      </c>
      <c r="L81" s="85">
        <v>56415</v>
      </c>
      <c r="M81" s="40"/>
      <c r="N81" s="40"/>
      <c r="O81" s="40"/>
      <c r="P81" s="40"/>
      <c r="Q81" s="40">
        <f t="shared" si="30"/>
        <v>0</v>
      </c>
      <c r="S81" s="85">
        <v>56415</v>
      </c>
      <c r="T81" s="40"/>
      <c r="U81" s="40"/>
      <c r="V81" s="40"/>
      <c r="W81" s="40"/>
      <c r="X81" s="40">
        <v>0</v>
      </c>
      <c r="Z81" s="85">
        <v>56415</v>
      </c>
      <c r="AA81" s="40"/>
      <c r="AB81" s="40"/>
      <c r="AC81" s="40"/>
      <c r="AD81" s="40"/>
      <c r="AE81" s="40">
        <v>0</v>
      </c>
      <c r="AG81" s="85">
        <v>56415</v>
      </c>
      <c r="AH81" s="40"/>
      <c r="AI81" s="40"/>
      <c r="AJ81" s="40"/>
      <c r="AK81" s="40"/>
      <c r="AL81" s="40">
        <v>0</v>
      </c>
      <c r="AN81" s="85">
        <v>56415</v>
      </c>
      <c r="AO81" s="40"/>
      <c r="AP81" s="40"/>
      <c r="AQ81" s="40"/>
      <c r="AR81" s="40">
        <v>0</v>
      </c>
      <c r="AT81" s="85">
        <v>56415</v>
      </c>
      <c r="AU81" s="40"/>
      <c r="AV81" s="87">
        <v>0</v>
      </c>
      <c r="AW81" s="40"/>
      <c r="AX81" s="40">
        <v>0</v>
      </c>
      <c r="AZ81" s="85">
        <v>56415</v>
      </c>
      <c r="BA81" s="40"/>
      <c r="BB81" s="87"/>
      <c r="BC81" s="40"/>
      <c r="BD81" s="40"/>
      <c r="BE81" s="40">
        <f t="shared" si="18"/>
        <v>0</v>
      </c>
      <c r="BG81" s="85">
        <v>56415</v>
      </c>
      <c r="BI81" s="40"/>
      <c r="BJ81" s="87"/>
      <c r="BL81" s="40">
        <v>0</v>
      </c>
      <c r="BN81" s="85">
        <v>56415</v>
      </c>
      <c r="BO81" s="40"/>
      <c r="BP81" s="87"/>
      <c r="BQ81" s="40"/>
      <c r="BR81" s="87"/>
      <c r="BS81" s="40"/>
      <c r="BT81" s="87"/>
      <c r="BU81" s="40"/>
      <c r="BV81" s="87"/>
      <c r="BW81" s="40"/>
      <c r="BY81" s="40">
        <f t="shared" si="31"/>
        <v>0</v>
      </c>
      <c r="CA81" s="85">
        <v>56415</v>
      </c>
      <c r="CB81" s="40"/>
      <c r="CC81" s="87"/>
      <c r="CD81" s="40"/>
      <c r="CE81" s="40">
        <f t="shared" si="20"/>
        <v>0</v>
      </c>
      <c r="CG81" s="85">
        <v>56415</v>
      </c>
      <c r="CL81" s="40">
        <f t="shared" si="21"/>
        <v>0</v>
      </c>
      <c r="CN81" s="85">
        <v>56415</v>
      </c>
      <c r="CS81" s="40">
        <f t="shared" si="19"/>
        <v>0</v>
      </c>
      <c r="CT81" s="85"/>
      <c r="CU81" s="85">
        <v>56415</v>
      </c>
      <c r="CV81" s="67"/>
      <c r="CW81" s="67"/>
      <c r="CX81" s="67"/>
      <c r="CY81" s="67"/>
      <c r="DA81" s="85">
        <v>56415</v>
      </c>
      <c r="DB81" s="67"/>
      <c r="DC81" s="67"/>
      <c r="DD81" s="67"/>
      <c r="DE81" s="40">
        <v>0</v>
      </c>
      <c r="DG81" s="85">
        <v>56415</v>
      </c>
      <c r="DH81" s="67"/>
      <c r="DI81" s="67"/>
      <c r="DJ81" s="67"/>
      <c r="DK81" s="40">
        <v>0</v>
      </c>
      <c r="DM81" s="85">
        <v>56415</v>
      </c>
      <c r="DN81" s="67"/>
      <c r="DO81" s="67"/>
      <c r="DP81" s="67"/>
      <c r="DQ81" s="67"/>
      <c r="DR81" s="40">
        <f t="shared" si="22"/>
        <v>0</v>
      </c>
      <c r="DT81" s="85">
        <v>56415</v>
      </c>
      <c r="DU81" s="67"/>
      <c r="DV81" s="67"/>
      <c r="DW81" s="67"/>
      <c r="DX81" s="67"/>
      <c r="DY81" s="40">
        <f t="shared" si="23"/>
        <v>0</v>
      </c>
      <c r="EA81" s="85">
        <v>56415</v>
      </c>
      <c r="EB81" s="67"/>
      <c r="EC81" s="67"/>
      <c r="ED81" s="67"/>
      <c r="EE81" s="67"/>
      <c r="EF81" s="40">
        <f t="shared" si="24"/>
        <v>0</v>
      </c>
      <c r="EH81" s="85">
        <v>56415</v>
      </c>
      <c r="EI81" s="67"/>
      <c r="EJ81" s="67"/>
      <c r="EK81" s="67"/>
      <c r="EL81" s="67"/>
      <c r="EM81" s="40">
        <f t="shared" si="25"/>
        <v>0</v>
      </c>
    </row>
    <row r="82" spans="2:143" x14ac:dyDescent="0.4">
      <c r="B82" s="85">
        <v>56614</v>
      </c>
      <c r="C82" s="85"/>
      <c r="D82" s="85">
        <v>56598</v>
      </c>
      <c r="E82" s="40">
        <f t="shared" si="26"/>
        <v>0</v>
      </c>
      <c r="F82" s="40">
        <f t="shared" si="27"/>
        <v>0</v>
      </c>
      <c r="G82" s="40">
        <f t="shared" si="28"/>
        <v>0</v>
      </c>
      <c r="H82" s="39">
        <v>0</v>
      </c>
      <c r="I82" s="40">
        <f t="shared" si="29"/>
        <v>0</v>
      </c>
      <c r="J82" s="40"/>
      <c r="L82" s="85">
        <v>56598</v>
      </c>
      <c r="M82" s="40"/>
      <c r="N82" s="40"/>
      <c r="O82" s="40"/>
      <c r="P82" s="40"/>
      <c r="Q82" s="40">
        <f t="shared" si="30"/>
        <v>0</v>
      </c>
      <c r="S82" s="85">
        <v>56598</v>
      </c>
      <c r="T82" s="40"/>
      <c r="U82" s="40"/>
      <c r="V82" s="40"/>
      <c r="W82" s="40"/>
      <c r="X82" s="40">
        <v>0</v>
      </c>
      <c r="Z82" s="85">
        <v>56598</v>
      </c>
      <c r="AA82" s="40"/>
      <c r="AB82" s="40"/>
      <c r="AC82" s="40"/>
      <c r="AD82" s="40"/>
      <c r="AE82" s="40">
        <v>0</v>
      </c>
      <c r="AG82" s="85">
        <v>56598</v>
      </c>
      <c r="AH82" s="40"/>
      <c r="AI82" s="40"/>
      <c r="AJ82" s="40"/>
      <c r="AK82" s="40"/>
      <c r="AL82" s="40">
        <v>0</v>
      </c>
      <c r="AN82" s="85">
        <v>56598</v>
      </c>
      <c r="AO82" s="40"/>
      <c r="AP82" s="40"/>
      <c r="AQ82" s="40"/>
      <c r="AR82" s="40">
        <v>0</v>
      </c>
      <c r="AT82" s="85">
        <v>56598</v>
      </c>
      <c r="AU82" s="40"/>
      <c r="AV82" s="87">
        <v>0</v>
      </c>
      <c r="AW82" s="40"/>
      <c r="AX82" s="40">
        <v>0</v>
      </c>
      <c r="AZ82" s="85">
        <v>56598</v>
      </c>
      <c r="BA82" s="40"/>
      <c r="BB82" s="87"/>
      <c r="BC82" s="40"/>
      <c r="BD82" s="40"/>
      <c r="BE82" s="40">
        <f t="shared" si="18"/>
        <v>0</v>
      </c>
      <c r="BG82" s="85">
        <v>56598</v>
      </c>
      <c r="BI82" s="40"/>
      <c r="BJ82" s="87"/>
      <c r="BL82" s="40">
        <v>0</v>
      </c>
      <c r="BN82" s="85">
        <v>56598</v>
      </c>
      <c r="BO82" s="40"/>
      <c r="BP82" s="87"/>
      <c r="BQ82" s="40"/>
      <c r="BR82" s="87"/>
      <c r="BS82" s="40"/>
      <c r="BT82" s="87"/>
      <c r="BU82" s="40"/>
      <c r="BV82" s="87"/>
      <c r="BW82" s="40"/>
      <c r="BY82" s="40">
        <f t="shared" si="31"/>
        <v>0</v>
      </c>
      <c r="CA82" s="85">
        <v>56598</v>
      </c>
      <c r="CB82" s="40"/>
      <c r="CC82" s="87"/>
      <c r="CD82" s="40"/>
      <c r="CE82" s="40">
        <f t="shared" si="20"/>
        <v>0</v>
      </c>
      <c r="CG82" s="85">
        <v>56598</v>
      </c>
      <c r="CL82" s="40">
        <f t="shared" si="21"/>
        <v>0</v>
      </c>
      <c r="CN82" s="85">
        <v>56598</v>
      </c>
      <c r="CS82" s="40">
        <f t="shared" si="19"/>
        <v>0</v>
      </c>
      <c r="CT82" s="85"/>
      <c r="CU82" s="85">
        <v>56598</v>
      </c>
      <c r="CV82" s="67"/>
      <c r="CW82" s="67"/>
      <c r="CX82" s="67"/>
      <c r="CY82" s="67"/>
      <c r="DA82" s="85">
        <v>56598</v>
      </c>
      <c r="DB82" s="67"/>
      <c r="DC82" s="67"/>
      <c r="DD82" s="67"/>
      <c r="DE82" s="40">
        <v>0</v>
      </c>
      <c r="DG82" s="85">
        <v>56598</v>
      </c>
      <c r="DH82" s="67"/>
      <c r="DI82" s="67"/>
      <c r="DJ82" s="67"/>
      <c r="DK82" s="40">
        <v>0</v>
      </c>
      <c r="DM82" s="85">
        <v>56598</v>
      </c>
      <c r="DN82" s="67"/>
      <c r="DO82" s="67"/>
      <c r="DP82" s="67"/>
      <c r="DQ82" s="67"/>
      <c r="DR82" s="40">
        <f t="shared" si="22"/>
        <v>0</v>
      </c>
      <c r="DT82" s="85">
        <v>56598</v>
      </c>
      <c r="DU82" s="67"/>
      <c r="DV82" s="67"/>
      <c r="DW82" s="67"/>
      <c r="DX82" s="67"/>
      <c r="DY82" s="40">
        <f t="shared" si="23"/>
        <v>0</v>
      </c>
      <c r="EA82" s="85">
        <v>56598</v>
      </c>
      <c r="EB82" s="67"/>
      <c r="EC82" s="67"/>
      <c r="ED82" s="67"/>
      <c r="EE82" s="67"/>
      <c r="EF82" s="40">
        <f t="shared" si="24"/>
        <v>0</v>
      </c>
      <c r="EH82" s="85">
        <v>56598</v>
      </c>
      <c r="EI82" s="67"/>
      <c r="EJ82" s="67"/>
      <c r="EK82" s="67"/>
      <c r="EL82" s="67"/>
      <c r="EM82" s="40">
        <f t="shared" si="25"/>
        <v>0</v>
      </c>
    </row>
    <row r="83" spans="2:143" x14ac:dyDescent="0.4">
      <c r="B83" s="85">
        <v>56795</v>
      </c>
      <c r="C83" s="85"/>
      <c r="D83" s="85">
        <v>56780</v>
      </c>
      <c r="E83" s="40">
        <f t="shared" si="26"/>
        <v>0</v>
      </c>
      <c r="F83" s="40">
        <f t="shared" si="27"/>
        <v>0</v>
      </c>
      <c r="G83" s="40">
        <f t="shared" si="28"/>
        <v>0</v>
      </c>
      <c r="H83" s="39">
        <v>0</v>
      </c>
      <c r="I83" s="40">
        <f t="shared" si="29"/>
        <v>0</v>
      </c>
      <c r="J83" s="40">
        <f>SUM(I82:I83)</f>
        <v>0</v>
      </c>
      <c r="L83" s="85">
        <v>56780</v>
      </c>
      <c r="M83" s="40"/>
      <c r="N83" s="40"/>
      <c r="O83" s="40"/>
      <c r="P83" s="40"/>
      <c r="Q83" s="40">
        <f t="shared" si="30"/>
        <v>0</v>
      </c>
      <c r="S83" s="85">
        <v>56780</v>
      </c>
      <c r="T83" s="40"/>
      <c r="U83" s="40"/>
      <c r="V83" s="40"/>
      <c r="W83" s="40"/>
      <c r="X83" s="40">
        <v>0</v>
      </c>
      <c r="Z83" s="85">
        <v>56780</v>
      </c>
      <c r="AA83" s="40"/>
      <c r="AB83" s="40"/>
      <c r="AC83" s="40"/>
      <c r="AD83" s="40"/>
      <c r="AE83" s="40">
        <v>0</v>
      </c>
      <c r="AG83" s="85">
        <v>56780</v>
      </c>
      <c r="AH83" s="40"/>
      <c r="AI83" s="40"/>
      <c r="AJ83" s="40"/>
      <c r="AK83" s="40"/>
      <c r="AL83" s="40">
        <v>0</v>
      </c>
      <c r="AN83" s="85">
        <v>56780</v>
      </c>
      <c r="AO83" s="40"/>
      <c r="AP83" s="40"/>
      <c r="AQ83" s="40"/>
      <c r="AR83" s="40">
        <v>0</v>
      </c>
      <c r="AT83" s="85">
        <v>56780</v>
      </c>
      <c r="AU83" s="40"/>
      <c r="AV83" s="87">
        <v>0</v>
      </c>
      <c r="AW83" s="40"/>
      <c r="AX83" s="40">
        <v>0</v>
      </c>
      <c r="AZ83" s="85">
        <v>56780</v>
      </c>
      <c r="BA83" s="40"/>
      <c r="BB83" s="87"/>
      <c r="BC83" s="40"/>
      <c r="BD83" s="40"/>
      <c r="BE83" s="40">
        <f t="shared" si="18"/>
        <v>0</v>
      </c>
      <c r="BG83" s="85">
        <v>56780</v>
      </c>
      <c r="BI83" s="40"/>
      <c r="BJ83" s="87"/>
      <c r="BL83" s="40">
        <v>0</v>
      </c>
      <c r="BN83" s="85">
        <v>56780</v>
      </c>
      <c r="BO83" s="40"/>
      <c r="BP83" s="87"/>
      <c r="BQ83" s="40"/>
      <c r="BR83" s="87"/>
      <c r="BS83" s="40"/>
      <c r="BT83" s="87"/>
      <c r="BU83" s="40"/>
      <c r="BV83" s="87"/>
      <c r="BW83" s="40"/>
      <c r="BY83" s="40">
        <f t="shared" si="31"/>
        <v>0</v>
      </c>
      <c r="CA83" s="85">
        <v>56780</v>
      </c>
      <c r="CB83" s="40"/>
      <c r="CC83" s="87"/>
      <c r="CD83" s="40"/>
      <c r="CE83" s="40">
        <f t="shared" si="20"/>
        <v>0</v>
      </c>
      <c r="CG83" s="85">
        <v>56780</v>
      </c>
      <c r="CL83" s="40">
        <f t="shared" si="21"/>
        <v>0</v>
      </c>
      <c r="CN83" s="85">
        <v>56780</v>
      </c>
      <c r="CS83" s="40">
        <f t="shared" si="19"/>
        <v>0</v>
      </c>
      <c r="CT83" s="85"/>
      <c r="CU83" s="85">
        <v>56780</v>
      </c>
      <c r="CV83" s="67"/>
      <c r="CW83" s="67"/>
      <c r="CX83" s="67"/>
      <c r="CY83" s="67"/>
      <c r="DA83" s="85">
        <v>56780</v>
      </c>
      <c r="DB83" s="67"/>
      <c r="DC83" s="67"/>
      <c r="DD83" s="67"/>
      <c r="DE83" s="40">
        <v>0</v>
      </c>
      <c r="DG83" s="85">
        <v>56780</v>
      </c>
      <c r="DH83" s="67"/>
      <c r="DI83" s="67"/>
      <c r="DJ83" s="67"/>
      <c r="DK83" s="40">
        <v>0</v>
      </c>
      <c r="DM83" s="85">
        <v>56780</v>
      </c>
      <c r="DN83" s="67"/>
      <c r="DO83" s="67"/>
      <c r="DP83" s="67"/>
      <c r="DQ83" s="67"/>
      <c r="DR83" s="40">
        <f t="shared" si="22"/>
        <v>0</v>
      </c>
      <c r="DT83" s="85">
        <v>56780</v>
      </c>
      <c r="DU83" s="67"/>
      <c r="DV83" s="67"/>
      <c r="DW83" s="67"/>
      <c r="DX83" s="67"/>
      <c r="DY83" s="40">
        <f t="shared" si="23"/>
        <v>0</v>
      </c>
      <c r="EA83" s="85">
        <v>56780</v>
      </c>
      <c r="EB83" s="67"/>
      <c r="EC83" s="67"/>
      <c r="ED83" s="67"/>
      <c r="EE83" s="67"/>
      <c r="EF83" s="40">
        <f t="shared" si="24"/>
        <v>0</v>
      </c>
      <c r="EH83" s="85">
        <v>56780</v>
      </c>
      <c r="EI83" s="67"/>
      <c r="EJ83" s="67"/>
      <c r="EK83" s="67"/>
      <c r="EL83" s="67"/>
      <c r="EM83" s="40">
        <f t="shared" si="25"/>
        <v>0</v>
      </c>
    </row>
    <row r="84" spans="2:143" x14ac:dyDescent="0.4">
      <c r="B84" s="85">
        <v>56979</v>
      </c>
      <c r="C84" s="85"/>
      <c r="D84" s="85">
        <v>56963</v>
      </c>
      <c r="E84" s="40">
        <f t="shared" si="26"/>
        <v>0</v>
      </c>
      <c r="F84" s="40">
        <f t="shared" si="27"/>
        <v>0</v>
      </c>
      <c r="G84" s="40">
        <f t="shared" si="28"/>
        <v>0</v>
      </c>
      <c r="H84" s="39">
        <v>0</v>
      </c>
      <c r="I84" s="40">
        <f t="shared" si="29"/>
        <v>0</v>
      </c>
      <c r="J84" s="40"/>
      <c r="L84" s="85">
        <v>56963</v>
      </c>
      <c r="M84" s="40"/>
      <c r="N84" s="40"/>
      <c r="O84" s="40"/>
      <c r="P84" s="40"/>
      <c r="Q84" s="40">
        <f t="shared" si="30"/>
        <v>0</v>
      </c>
      <c r="S84" s="85">
        <v>56963</v>
      </c>
      <c r="T84" s="40"/>
      <c r="U84" s="40"/>
      <c r="V84" s="40"/>
      <c r="W84" s="40"/>
      <c r="X84" s="40">
        <v>0</v>
      </c>
      <c r="Z84" s="85">
        <v>56963</v>
      </c>
      <c r="AA84" s="40"/>
      <c r="AB84" s="40"/>
      <c r="AC84" s="40"/>
      <c r="AD84" s="40"/>
      <c r="AE84" s="40">
        <v>0</v>
      </c>
      <c r="AG84" s="85">
        <v>56963</v>
      </c>
      <c r="AH84" s="40"/>
      <c r="AI84" s="40"/>
      <c r="AJ84" s="40"/>
      <c r="AK84" s="40"/>
      <c r="AL84" s="40">
        <v>0</v>
      </c>
      <c r="AN84" s="85">
        <v>56963</v>
      </c>
      <c r="AO84" s="40"/>
      <c r="AP84" s="40"/>
      <c r="AQ84" s="40"/>
      <c r="AR84" s="40">
        <v>0</v>
      </c>
      <c r="AT84" s="85">
        <v>56963</v>
      </c>
      <c r="AU84" s="40"/>
      <c r="AV84" s="87">
        <v>0</v>
      </c>
      <c r="AW84" s="40"/>
      <c r="AX84" s="40">
        <v>0</v>
      </c>
      <c r="AZ84" s="85">
        <v>56963</v>
      </c>
      <c r="BA84" s="40"/>
      <c r="BB84" s="87"/>
      <c r="BC84" s="40"/>
      <c r="BD84" s="40"/>
      <c r="BE84" s="40">
        <f t="shared" si="18"/>
        <v>0</v>
      </c>
      <c r="BG84" s="85">
        <v>56963</v>
      </c>
      <c r="BI84" s="40"/>
      <c r="BJ84" s="87"/>
      <c r="BL84" s="40">
        <v>0</v>
      </c>
      <c r="BN84" s="85">
        <v>56963</v>
      </c>
      <c r="BO84" s="40"/>
      <c r="BP84" s="87"/>
      <c r="BQ84" s="40"/>
      <c r="BR84" s="87"/>
      <c r="BS84" s="40"/>
      <c r="BT84" s="87"/>
      <c r="BU84" s="40"/>
      <c r="BV84" s="87"/>
      <c r="BW84" s="40"/>
      <c r="BY84" s="40">
        <f t="shared" si="31"/>
        <v>0</v>
      </c>
      <c r="CA84" s="85">
        <v>56963</v>
      </c>
      <c r="CB84" s="40"/>
      <c r="CC84" s="87"/>
      <c r="CD84" s="40"/>
      <c r="CE84" s="40">
        <f t="shared" si="20"/>
        <v>0</v>
      </c>
      <c r="CG84" s="85">
        <v>56963</v>
      </c>
      <c r="CL84" s="40">
        <f t="shared" si="21"/>
        <v>0</v>
      </c>
      <c r="CN84" s="85">
        <v>56963</v>
      </c>
      <c r="CS84" s="40">
        <f t="shared" si="19"/>
        <v>0</v>
      </c>
      <c r="CT84" s="85"/>
      <c r="CU84" s="85">
        <v>56963</v>
      </c>
      <c r="CV84" s="67"/>
      <c r="CW84" s="67"/>
      <c r="CX84" s="67"/>
      <c r="CY84" s="67"/>
      <c r="DA84" s="85">
        <v>56963</v>
      </c>
      <c r="DB84" s="67"/>
      <c r="DC84" s="67"/>
      <c r="DD84" s="67"/>
      <c r="DE84" s="40">
        <v>0</v>
      </c>
      <c r="DG84" s="85">
        <v>56963</v>
      </c>
      <c r="DH84" s="67"/>
      <c r="DI84" s="67"/>
      <c r="DJ84" s="67"/>
      <c r="DK84" s="40">
        <v>0</v>
      </c>
      <c r="DM84" s="85">
        <v>56963</v>
      </c>
      <c r="DN84" s="67"/>
      <c r="DO84" s="67"/>
      <c r="DP84" s="67"/>
      <c r="DQ84" s="67"/>
      <c r="DR84" s="40">
        <f t="shared" si="22"/>
        <v>0</v>
      </c>
      <c r="DT84" s="85">
        <v>56963</v>
      </c>
      <c r="DU84" s="67"/>
      <c r="DV84" s="67"/>
      <c r="DW84" s="67"/>
      <c r="DX84" s="67"/>
      <c r="DY84" s="40">
        <f t="shared" si="23"/>
        <v>0</v>
      </c>
      <c r="EA84" s="85">
        <v>56963</v>
      </c>
      <c r="EB84" s="67"/>
      <c r="EC84" s="67"/>
      <c r="ED84" s="67"/>
      <c r="EE84" s="67"/>
      <c r="EF84" s="40">
        <f t="shared" si="24"/>
        <v>0</v>
      </c>
      <c r="EH84" s="85">
        <v>56963</v>
      </c>
      <c r="EI84" s="67"/>
      <c r="EJ84" s="67"/>
      <c r="EK84" s="67"/>
      <c r="EL84" s="67"/>
      <c r="EM84" s="40">
        <f t="shared" si="25"/>
        <v>0</v>
      </c>
    </row>
    <row r="85" spans="2:143" x14ac:dyDescent="0.4">
      <c r="B85" s="85">
        <v>57161</v>
      </c>
      <c r="C85" s="85"/>
      <c r="D85" s="85">
        <v>57146</v>
      </c>
      <c r="E85" s="40">
        <f t="shared" si="26"/>
        <v>0</v>
      </c>
      <c r="F85" s="40">
        <f t="shared" si="27"/>
        <v>0</v>
      </c>
      <c r="G85" s="40">
        <f t="shared" si="28"/>
        <v>0</v>
      </c>
      <c r="H85" s="39">
        <v>0</v>
      </c>
      <c r="I85" s="40">
        <f t="shared" si="29"/>
        <v>0</v>
      </c>
      <c r="J85" s="40">
        <f>SUM(I84:I85)</f>
        <v>0</v>
      </c>
      <c r="L85" s="85">
        <v>57146</v>
      </c>
      <c r="M85" s="40"/>
      <c r="N85" s="40"/>
      <c r="O85" s="40"/>
      <c r="P85" s="40"/>
      <c r="Q85" s="40">
        <f t="shared" si="30"/>
        <v>0</v>
      </c>
      <c r="S85" s="85">
        <v>57146</v>
      </c>
      <c r="T85" s="40"/>
      <c r="U85" s="40"/>
      <c r="V85" s="40"/>
      <c r="W85" s="40"/>
      <c r="X85" s="40">
        <v>0</v>
      </c>
      <c r="Z85" s="85">
        <v>57146</v>
      </c>
      <c r="AA85" s="40"/>
      <c r="AB85" s="40"/>
      <c r="AC85" s="40"/>
      <c r="AD85" s="40"/>
      <c r="AE85" s="40">
        <v>0</v>
      </c>
      <c r="AG85" s="85">
        <v>57146</v>
      </c>
      <c r="AH85" s="40"/>
      <c r="AI85" s="40"/>
      <c r="AJ85" s="40"/>
      <c r="AK85" s="40"/>
      <c r="AL85" s="40">
        <v>0</v>
      </c>
      <c r="AN85" s="85">
        <v>57146</v>
      </c>
      <c r="AO85" s="40"/>
      <c r="AP85" s="40"/>
      <c r="AQ85" s="40"/>
      <c r="AR85" s="40">
        <v>0</v>
      </c>
      <c r="AT85" s="85">
        <v>57146</v>
      </c>
      <c r="AU85" s="40"/>
      <c r="AV85" s="87">
        <v>0</v>
      </c>
      <c r="AW85" s="40"/>
      <c r="AX85" s="40">
        <v>0</v>
      </c>
      <c r="AZ85" s="85">
        <v>57146</v>
      </c>
      <c r="BA85" s="40"/>
      <c r="BB85" s="87"/>
      <c r="BC85" s="40"/>
      <c r="BD85" s="40"/>
      <c r="BE85" s="40">
        <f t="shared" si="18"/>
        <v>0</v>
      </c>
      <c r="BG85" s="85">
        <v>57146</v>
      </c>
      <c r="BI85" s="40"/>
      <c r="BJ85" s="87"/>
      <c r="BL85" s="40">
        <v>0</v>
      </c>
      <c r="BN85" s="85">
        <v>57146</v>
      </c>
      <c r="BO85" s="40"/>
      <c r="BP85" s="87"/>
      <c r="BQ85" s="40"/>
      <c r="BR85" s="87"/>
      <c r="BS85" s="40"/>
      <c r="BT85" s="87"/>
      <c r="BU85" s="40"/>
      <c r="BV85" s="87"/>
      <c r="BW85" s="40"/>
      <c r="BY85" s="40">
        <f t="shared" si="31"/>
        <v>0</v>
      </c>
      <c r="CA85" s="85">
        <v>57146</v>
      </c>
      <c r="CB85" s="40"/>
      <c r="CC85" s="87"/>
      <c r="CD85" s="40"/>
      <c r="CE85" s="40">
        <f t="shared" si="20"/>
        <v>0</v>
      </c>
      <c r="CG85" s="85">
        <v>57146</v>
      </c>
      <c r="CL85" s="40">
        <f t="shared" si="21"/>
        <v>0</v>
      </c>
      <c r="CN85" s="85">
        <v>57146</v>
      </c>
      <c r="CS85" s="40">
        <f t="shared" si="19"/>
        <v>0</v>
      </c>
      <c r="CT85" s="85"/>
      <c r="CU85" s="85">
        <v>57146</v>
      </c>
      <c r="CV85" s="67"/>
      <c r="CW85" s="67"/>
      <c r="CX85" s="67"/>
      <c r="CY85" s="67"/>
      <c r="DA85" s="85">
        <v>57146</v>
      </c>
      <c r="DB85" s="67"/>
      <c r="DC85" s="67"/>
      <c r="DD85" s="67"/>
      <c r="DE85" s="40">
        <v>0</v>
      </c>
      <c r="DG85" s="85">
        <v>57146</v>
      </c>
      <c r="DH85" s="67"/>
      <c r="DI85" s="67"/>
      <c r="DJ85" s="67"/>
      <c r="DK85" s="40">
        <v>0</v>
      </c>
      <c r="DM85" s="85">
        <v>57146</v>
      </c>
      <c r="DN85" s="67"/>
      <c r="DO85" s="67"/>
      <c r="DP85" s="67"/>
      <c r="DQ85" s="67"/>
      <c r="DR85" s="40">
        <f t="shared" si="22"/>
        <v>0</v>
      </c>
      <c r="DT85" s="85">
        <v>57146</v>
      </c>
      <c r="DU85" s="67"/>
      <c r="DV85" s="67"/>
      <c r="DW85" s="67"/>
      <c r="DX85" s="67"/>
      <c r="DY85" s="40">
        <f t="shared" si="23"/>
        <v>0</v>
      </c>
      <c r="EA85" s="85">
        <v>57146</v>
      </c>
      <c r="EB85" s="67"/>
      <c r="EC85" s="67"/>
      <c r="ED85" s="67"/>
      <c r="EE85" s="67"/>
      <c r="EF85" s="40">
        <f t="shared" si="24"/>
        <v>0</v>
      </c>
      <c r="EH85" s="85">
        <v>57146</v>
      </c>
      <c r="EI85" s="67"/>
      <c r="EJ85" s="67"/>
      <c r="EK85" s="67"/>
      <c r="EL85" s="67"/>
      <c r="EM85" s="40">
        <f t="shared" si="25"/>
        <v>0</v>
      </c>
    </row>
    <row r="86" spans="2:143" x14ac:dyDescent="0.4">
      <c r="B86" s="85">
        <v>57345</v>
      </c>
      <c r="C86" s="85"/>
      <c r="D86" s="85">
        <v>57329</v>
      </c>
      <c r="E86" s="40">
        <f t="shared" si="26"/>
        <v>0</v>
      </c>
      <c r="F86" s="40">
        <f t="shared" si="27"/>
        <v>0</v>
      </c>
      <c r="G86" s="40">
        <f t="shared" si="28"/>
        <v>0</v>
      </c>
      <c r="H86" s="39">
        <v>0</v>
      </c>
      <c r="I86" s="40">
        <f t="shared" si="29"/>
        <v>0</v>
      </c>
      <c r="J86" s="40"/>
      <c r="L86" s="85">
        <v>57329</v>
      </c>
      <c r="M86" s="40"/>
      <c r="N86" s="40"/>
      <c r="O86" s="40"/>
      <c r="P86" s="40"/>
      <c r="Q86" s="40">
        <f t="shared" si="30"/>
        <v>0</v>
      </c>
      <c r="S86" s="85">
        <v>57329</v>
      </c>
      <c r="T86" s="40"/>
      <c r="U86" s="40"/>
      <c r="V86" s="40"/>
      <c r="W86" s="40"/>
      <c r="X86" s="40">
        <v>0</v>
      </c>
      <c r="Z86" s="85">
        <v>57329</v>
      </c>
      <c r="AA86" s="40"/>
      <c r="AB86" s="40"/>
      <c r="AC86" s="40"/>
      <c r="AD86" s="40"/>
      <c r="AE86" s="40">
        <v>0</v>
      </c>
      <c r="AG86" s="85">
        <v>57329</v>
      </c>
      <c r="AH86" s="40"/>
      <c r="AI86" s="40"/>
      <c r="AJ86" s="40"/>
      <c r="AK86" s="40"/>
      <c r="AL86" s="40">
        <v>0</v>
      </c>
      <c r="AN86" s="85">
        <v>57329</v>
      </c>
      <c r="AO86" s="40"/>
      <c r="AP86" s="40"/>
      <c r="AQ86" s="40"/>
      <c r="AR86" s="40">
        <v>0</v>
      </c>
      <c r="AT86" s="85">
        <v>57329</v>
      </c>
      <c r="AU86" s="40"/>
      <c r="AV86" s="87">
        <v>0</v>
      </c>
      <c r="AW86" s="40"/>
      <c r="AX86" s="40">
        <v>0</v>
      </c>
      <c r="AZ86" s="85">
        <v>57329</v>
      </c>
      <c r="BA86" s="40"/>
      <c r="BB86" s="87"/>
      <c r="BC86" s="40"/>
      <c r="BD86" s="40"/>
      <c r="BE86" s="40">
        <f t="shared" si="18"/>
        <v>0</v>
      </c>
      <c r="BG86" s="85">
        <v>57329</v>
      </c>
      <c r="BI86" s="40"/>
      <c r="BJ86" s="87"/>
      <c r="BL86" s="40">
        <v>0</v>
      </c>
      <c r="BN86" s="85">
        <v>57329</v>
      </c>
      <c r="BO86" s="40"/>
      <c r="BP86" s="87"/>
      <c r="BQ86" s="40"/>
      <c r="BR86" s="87"/>
      <c r="BS86" s="40"/>
      <c r="BT86" s="87"/>
      <c r="BU86" s="40"/>
      <c r="BV86" s="87"/>
      <c r="BW86" s="40"/>
      <c r="BY86" s="40">
        <f t="shared" si="31"/>
        <v>0</v>
      </c>
      <c r="CA86" s="85">
        <v>57329</v>
      </c>
      <c r="CB86" s="40"/>
      <c r="CC86" s="87"/>
      <c r="CD86" s="40"/>
      <c r="CE86" s="40">
        <f t="shared" si="20"/>
        <v>0</v>
      </c>
      <c r="CG86" s="85">
        <v>57329</v>
      </c>
      <c r="CL86" s="40">
        <f t="shared" si="21"/>
        <v>0</v>
      </c>
      <c r="CN86" s="85">
        <v>57329</v>
      </c>
      <c r="CS86" s="40">
        <f t="shared" si="19"/>
        <v>0</v>
      </c>
      <c r="CT86" s="85"/>
      <c r="CU86" s="85">
        <v>57329</v>
      </c>
      <c r="CV86" s="67"/>
      <c r="CW86" s="67"/>
      <c r="CX86" s="67"/>
      <c r="CY86" s="67"/>
      <c r="DA86" s="85">
        <v>57329</v>
      </c>
      <c r="DB86" s="67"/>
      <c r="DC86" s="67"/>
      <c r="DD86" s="67"/>
      <c r="DE86" s="40">
        <v>0</v>
      </c>
      <c r="DG86" s="85">
        <v>57329</v>
      </c>
      <c r="DH86" s="67"/>
      <c r="DI86" s="67"/>
      <c r="DJ86" s="67"/>
      <c r="DK86" s="40">
        <v>0</v>
      </c>
      <c r="DM86" s="85">
        <v>57329</v>
      </c>
      <c r="DN86" s="67"/>
      <c r="DO86" s="67"/>
      <c r="DP86" s="67"/>
      <c r="DQ86" s="67"/>
      <c r="DR86" s="40">
        <f t="shared" si="22"/>
        <v>0</v>
      </c>
      <c r="DT86" s="85">
        <v>57329</v>
      </c>
      <c r="DU86" s="67"/>
      <c r="DV86" s="67"/>
      <c r="DW86" s="67"/>
      <c r="DX86" s="67"/>
      <c r="DY86" s="40">
        <f t="shared" si="23"/>
        <v>0</v>
      </c>
      <c r="EA86" s="85">
        <v>57329</v>
      </c>
      <c r="EB86" s="67"/>
      <c r="EC86" s="67"/>
      <c r="ED86" s="67"/>
      <c r="EE86" s="67"/>
      <c r="EF86" s="40">
        <f t="shared" si="24"/>
        <v>0</v>
      </c>
      <c r="EH86" s="85">
        <v>57329</v>
      </c>
      <c r="EI86" s="67"/>
      <c r="EJ86" s="67"/>
      <c r="EK86" s="67"/>
      <c r="EL86" s="67"/>
      <c r="EM86" s="40">
        <f t="shared" si="25"/>
        <v>0</v>
      </c>
    </row>
    <row r="87" spans="2:143" x14ac:dyDescent="0.4">
      <c r="B87" s="85">
        <v>57526</v>
      </c>
      <c r="C87" s="85"/>
      <c r="D87" s="85">
        <v>57511</v>
      </c>
      <c r="E87" s="40">
        <f t="shared" si="26"/>
        <v>0</v>
      </c>
      <c r="F87" s="40">
        <f t="shared" si="27"/>
        <v>0</v>
      </c>
      <c r="G87" s="40">
        <f t="shared" si="28"/>
        <v>0</v>
      </c>
      <c r="H87" s="39">
        <v>0</v>
      </c>
      <c r="I87" s="40">
        <f t="shared" si="29"/>
        <v>0</v>
      </c>
      <c r="J87" s="40">
        <f>SUM(I86:I87)</f>
        <v>0</v>
      </c>
      <c r="L87" s="85">
        <v>57511</v>
      </c>
      <c r="M87" s="40"/>
      <c r="N87" s="40"/>
      <c r="O87" s="40"/>
      <c r="P87" s="40"/>
      <c r="Q87" s="40">
        <f t="shared" si="30"/>
        <v>0</v>
      </c>
      <c r="S87" s="85">
        <v>57511</v>
      </c>
      <c r="T87" s="40"/>
      <c r="U87" s="40"/>
      <c r="V87" s="40"/>
      <c r="W87" s="40"/>
      <c r="X87" s="40">
        <v>0</v>
      </c>
      <c r="Z87" s="85">
        <v>57511</v>
      </c>
      <c r="AA87" s="40"/>
      <c r="AB87" s="40"/>
      <c r="AC87" s="40"/>
      <c r="AD87" s="40"/>
      <c r="AE87" s="40">
        <v>0</v>
      </c>
      <c r="AG87" s="85">
        <v>57511</v>
      </c>
      <c r="AH87" s="40"/>
      <c r="AI87" s="40"/>
      <c r="AJ87" s="40"/>
      <c r="AK87" s="40"/>
      <c r="AL87" s="40">
        <v>0</v>
      </c>
      <c r="AN87" s="85">
        <v>57511</v>
      </c>
      <c r="AO87" s="40"/>
      <c r="AP87" s="40"/>
      <c r="AQ87" s="40"/>
      <c r="AR87" s="40">
        <v>0</v>
      </c>
      <c r="AT87" s="85">
        <v>57511</v>
      </c>
      <c r="AU87" s="40"/>
      <c r="AV87" s="87">
        <v>0</v>
      </c>
      <c r="AW87" s="40"/>
      <c r="AX87" s="40">
        <v>0</v>
      </c>
      <c r="AZ87" s="85">
        <v>57511</v>
      </c>
      <c r="BA87" s="40"/>
      <c r="BB87" s="87"/>
      <c r="BC87" s="40"/>
      <c r="BD87" s="40"/>
      <c r="BE87" s="40">
        <f t="shared" si="18"/>
        <v>0</v>
      </c>
      <c r="BG87" s="85">
        <v>57511</v>
      </c>
      <c r="BI87" s="40"/>
      <c r="BJ87" s="87"/>
      <c r="BL87" s="40">
        <v>0</v>
      </c>
      <c r="BN87" s="85">
        <v>57511</v>
      </c>
      <c r="BO87" s="40"/>
      <c r="BP87" s="87"/>
      <c r="BQ87" s="40"/>
      <c r="BR87" s="87"/>
      <c r="BS87" s="40"/>
      <c r="BT87" s="87"/>
      <c r="BU87" s="40"/>
      <c r="BV87" s="87"/>
      <c r="BW87" s="40"/>
      <c r="BY87" s="40">
        <f t="shared" si="31"/>
        <v>0</v>
      </c>
      <c r="CA87" s="85">
        <v>57511</v>
      </c>
      <c r="CB87" s="40"/>
      <c r="CC87" s="87"/>
      <c r="CD87" s="40"/>
      <c r="CE87" s="40">
        <f t="shared" si="20"/>
        <v>0</v>
      </c>
      <c r="CG87" s="85">
        <v>57511</v>
      </c>
      <c r="CL87" s="40">
        <f t="shared" si="21"/>
        <v>0</v>
      </c>
      <c r="CN87" s="85">
        <v>57511</v>
      </c>
      <c r="CS87" s="40">
        <f t="shared" si="19"/>
        <v>0</v>
      </c>
      <c r="CT87" s="85"/>
      <c r="CU87" s="85">
        <v>57511</v>
      </c>
      <c r="CV87" s="67"/>
      <c r="CW87" s="67"/>
      <c r="CX87" s="67"/>
      <c r="CY87" s="67"/>
      <c r="DA87" s="85">
        <v>57511</v>
      </c>
      <c r="DB87" s="67"/>
      <c r="DC87" s="67"/>
      <c r="DD87" s="67"/>
      <c r="DE87" s="40">
        <v>0</v>
      </c>
      <c r="DG87" s="85">
        <v>57511</v>
      </c>
      <c r="DH87" s="67"/>
      <c r="DI87" s="67"/>
      <c r="DJ87" s="67"/>
      <c r="DK87" s="40">
        <v>0</v>
      </c>
      <c r="DM87" s="85">
        <v>57511</v>
      </c>
      <c r="DN87" s="67"/>
      <c r="DO87" s="67"/>
      <c r="DP87" s="67"/>
      <c r="DQ87" s="67"/>
      <c r="DR87" s="40">
        <f t="shared" si="22"/>
        <v>0</v>
      </c>
      <c r="DT87" s="85">
        <v>57511</v>
      </c>
      <c r="DU87" s="67"/>
      <c r="DV87" s="67"/>
      <c r="DW87" s="67"/>
      <c r="DX87" s="67"/>
      <c r="DY87" s="40">
        <f t="shared" si="23"/>
        <v>0</v>
      </c>
      <c r="EA87" s="85">
        <v>57511</v>
      </c>
      <c r="EB87" s="67"/>
      <c r="EC87" s="67"/>
      <c r="ED87" s="67"/>
      <c r="EE87" s="67"/>
      <c r="EF87" s="40">
        <f t="shared" si="24"/>
        <v>0</v>
      </c>
      <c r="EH87" s="85">
        <v>57511</v>
      </c>
      <c r="EI87" s="67"/>
      <c r="EJ87" s="67"/>
      <c r="EK87" s="67"/>
      <c r="EL87" s="67"/>
      <c r="EM87" s="40">
        <f t="shared" si="25"/>
        <v>0</v>
      </c>
    </row>
    <row r="88" spans="2:143" x14ac:dyDescent="0.4">
      <c r="B88" s="85">
        <v>57710</v>
      </c>
      <c r="C88" s="85"/>
      <c r="D88" s="85">
        <v>57694</v>
      </c>
      <c r="E88" s="40">
        <f t="shared" si="26"/>
        <v>0</v>
      </c>
      <c r="F88" s="40">
        <f t="shared" si="27"/>
        <v>0</v>
      </c>
      <c r="G88" s="40">
        <f t="shared" si="28"/>
        <v>0</v>
      </c>
      <c r="H88" s="39">
        <v>0</v>
      </c>
      <c r="I88" s="40">
        <f t="shared" si="29"/>
        <v>0</v>
      </c>
      <c r="J88" s="40"/>
      <c r="L88" s="85">
        <v>57694</v>
      </c>
      <c r="M88" s="40"/>
      <c r="N88" s="40"/>
      <c r="O88" s="40"/>
      <c r="P88" s="40"/>
      <c r="Q88" s="40">
        <f t="shared" si="30"/>
        <v>0</v>
      </c>
      <c r="S88" s="85">
        <v>57694</v>
      </c>
      <c r="T88" s="40"/>
      <c r="U88" s="40"/>
      <c r="V88" s="40"/>
      <c r="W88" s="40"/>
      <c r="X88" s="40">
        <v>0</v>
      </c>
      <c r="Z88" s="85">
        <v>57694</v>
      </c>
      <c r="AA88" s="40"/>
      <c r="AB88" s="40"/>
      <c r="AC88" s="40"/>
      <c r="AD88" s="40"/>
      <c r="AE88" s="40">
        <v>0</v>
      </c>
      <c r="AG88" s="85">
        <v>57694</v>
      </c>
      <c r="AH88" s="40"/>
      <c r="AI88" s="40"/>
      <c r="AJ88" s="40"/>
      <c r="AK88" s="40"/>
      <c r="AL88" s="40">
        <v>0</v>
      </c>
      <c r="AN88" s="85">
        <v>57694</v>
      </c>
      <c r="AO88" s="40"/>
      <c r="AP88" s="40"/>
      <c r="AQ88" s="40"/>
      <c r="AR88" s="40">
        <v>0</v>
      </c>
      <c r="AT88" s="85">
        <v>57694</v>
      </c>
      <c r="AU88" s="40"/>
      <c r="AV88" s="87">
        <v>0</v>
      </c>
      <c r="AW88" s="40"/>
      <c r="AX88" s="40">
        <v>0</v>
      </c>
      <c r="AZ88" s="85">
        <v>57694</v>
      </c>
      <c r="BA88" s="40"/>
      <c r="BB88" s="87"/>
      <c r="BC88" s="40"/>
      <c r="BD88" s="40"/>
      <c r="BE88" s="40">
        <f t="shared" si="18"/>
        <v>0</v>
      </c>
      <c r="BG88" s="85">
        <v>57694</v>
      </c>
      <c r="BI88" s="40"/>
      <c r="BJ88" s="87"/>
      <c r="BL88" s="40">
        <v>0</v>
      </c>
      <c r="BN88" s="85">
        <v>57694</v>
      </c>
      <c r="BO88" s="40"/>
      <c r="BP88" s="87"/>
      <c r="BQ88" s="40"/>
      <c r="BR88" s="87"/>
      <c r="BS88" s="40"/>
      <c r="BT88" s="87"/>
      <c r="BU88" s="40"/>
      <c r="BV88" s="87"/>
      <c r="BW88" s="40"/>
      <c r="BY88" s="40">
        <f t="shared" si="31"/>
        <v>0</v>
      </c>
      <c r="CA88" s="85">
        <v>57694</v>
      </c>
      <c r="CB88" s="40"/>
      <c r="CC88" s="87"/>
      <c r="CD88" s="40"/>
      <c r="CE88" s="40">
        <f t="shared" si="20"/>
        <v>0</v>
      </c>
      <c r="CG88" s="85">
        <v>57694</v>
      </c>
      <c r="CL88" s="40">
        <f t="shared" si="21"/>
        <v>0</v>
      </c>
      <c r="CN88" s="85">
        <v>57694</v>
      </c>
      <c r="CS88" s="40">
        <f t="shared" si="19"/>
        <v>0</v>
      </c>
      <c r="CT88" s="85"/>
      <c r="CU88" s="85">
        <v>57694</v>
      </c>
      <c r="CV88" s="67"/>
      <c r="CW88" s="67"/>
      <c r="CX88" s="67"/>
      <c r="CY88" s="67"/>
      <c r="DA88" s="85">
        <v>57694</v>
      </c>
      <c r="DB88" s="67"/>
      <c r="DC88" s="67"/>
      <c r="DD88" s="67"/>
      <c r="DE88" s="40">
        <v>0</v>
      </c>
      <c r="DG88" s="85">
        <v>57694</v>
      </c>
      <c r="DH88" s="67"/>
      <c r="DI88" s="67"/>
      <c r="DJ88" s="67"/>
      <c r="DK88" s="40">
        <v>0</v>
      </c>
      <c r="DM88" s="85">
        <v>57694</v>
      </c>
      <c r="DN88" s="67"/>
      <c r="DO88" s="67"/>
      <c r="DP88" s="67"/>
      <c r="DQ88" s="67"/>
      <c r="DR88" s="40">
        <f t="shared" si="22"/>
        <v>0</v>
      </c>
      <c r="DT88" s="85">
        <v>57694</v>
      </c>
      <c r="DU88" s="67"/>
      <c r="DV88" s="67"/>
      <c r="DW88" s="67"/>
      <c r="DX88" s="67"/>
      <c r="DY88" s="40">
        <f t="shared" si="23"/>
        <v>0</v>
      </c>
      <c r="EA88" s="85">
        <v>57694</v>
      </c>
      <c r="EB88" s="67"/>
      <c r="EC88" s="67"/>
      <c r="ED88" s="67"/>
      <c r="EE88" s="67"/>
      <c r="EF88" s="40">
        <f t="shared" si="24"/>
        <v>0</v>
      </c>
      <c r="EH88" s="85">
        <v>57694</v>
      </c>
      <c r="EI88" s="67"/>
      <c r="EJ88" s="67"/>
      <c r="EK88" s="67"/>
      <c r="EL88" s="67"/>
      <c r="EM88" s="40">
        <f t="shared" si="25"/>
        <v>0</v>
      </c>
    </row>
    <row r="89" spans="2:143" x14ac:dyDescent="0.4">
      <c r="B89" s="85">
        <v>57891</v>
      </c>
      <c r="C89" s="85"/>
      <c r="D89" s="85">
        <v>57876</v>
      </c>
      <c r="E89" s="40">
        <f t="shared" si="26"/>
        <v>0</v>
      </c>
      <c r="F89" s="40">
        <f t="shared" si="27"/>
        <v>0</v>
      </c>
      <c r="G89" s="40">
        <f t="shared" si="28"/>
        <v>0</v>
      </c>
      <c r="H89" s="39">
        <v>0</v>
      </c>
      <c r="I89" s="40">
        <f t="shared" si="29"/>
        <v>0</v>
      </c>
      <c r="J89" s="40">
        <f>SUM(I88:I89)</f>
        <v>0</v>
      </c>
      <c r="L89" s="85">
        <v>57876</v>
      </c>
      <c r="M89" s="40"/>
      <c r="N89" s="40"/>
      <c r="O89" s="40"/>
      <c r="P89" s="40"/>
      <c r="Q89" s="40">
        <f t="shared" si="30"/>
        <v>0</v>
      </c>
      <c r="S89" s="85">
        <v>57876</v>
      </c>
      <c r="T89" s="40"/>
      <c r="U89" s="40"/>
      <c r="V89" s="40"/>
      <c r="W89" s="40"/>
      <c r="X89" s="40">
        <v>0</v>
      </c>
      <c r="Z89" s="85">
        <v>57876</v>
      </c>
      <c r="AA89" s="40"/>
      <c r="AB89" s="40"/>
      <c r="AC89" s="40"/>
      <c r="AD89" s="40"/>
      <c r="AE89" s="40">
        <v>0</v>
      </c>
      <c r="AG89" s="85">
        <v>57876</v>
      </c>
      <c r="AH89" s="40"/>
      <c r="AI89" s="40"/>
      <c r="AJ89" s="40"/>
      <c r="AK89" s="40"/>
      <c r="AL89" s="40">
        <v>0</v>
      </c>
      <c r="AN89" s="85">
        <v>57876</v>
      </c>
      <c r="AO89" s="40"/>
      <c r="AP89" s="40"/>
      <c r="AQ89" s="40"/>
      <c r="AR89" s="40">
        <v>0</v>
      </c>
      <c r="AT89" s="85">
        <v>57876</v>
      </c>
      <c r="AU89" s="40"/>
      <c r="AV89" s="87">
        <v>0</v>
      </c>
      <c r="AW89" s="40"/>
      <c r="AX89" s="40">
        <v>0</v>
      </c>
      <c r="AZ89" s="85">
        <v>57876</v>
      </c>
      <c r="BA89" s="40"/>
      <c r="BB89" s="87"/>
      <c r="BC89" s="40"/>
      <c r="BD89" s="40"/>
      <c r="BE89" s="40">
        <f t="shared" si="18"/>
        <v>0</v>
      </c>
      <c r="BG89" s="85">
        <v>57876</v>
      </c>
      <c r="BI89" s="40"/>
      <c r="BJ89" s="87"/>
      <c r="BL89" s="40">
        <v>0</v>
      </c>
      <c r="BN89" s="85">
        <v>57876</v>
      </c>
      <c r="BO89" s="40"/>
      <c r="BP89" s="87"/>
      <c r="BQ89" s="40"/>
      <c r="BR89" s="87"/>
      <c r="BS89" s="40"/>
      <c r="BT89" s="87"/>
      <c r="BU89" s="40"/>
      <c r="BV89" s="87"/>
      <c r="BW89" s="40"/>
      <c r="BY89" s="40">
        <f t="shared" si="31"/>
        <v>0</v>
      </c>
      <c r="CA89" s="85">
        <v>57876</v>
      </c>
      <c r="CB89" s="40"/>
      <c r="CC89" s="87"/>
      <c r="CD89" s="40"/>
      <c r="CE89" s="40">
        <f t="shared" si="20"/>
        <v>0</v>
      </c>
      <c r="CG89" s="85">
        <v>57876</v>
      </c>
      <c r="CL89" s="40">
        <f t="shared" si="21"/>
        <v>0</v>
      </c>
      <c r="CN89" s="85">
        <v>57876</v>
      </c>
      <c r="CS89" s="40">
        <f t="shared" si="19"/>
        <v>0</v>
      </c>
      <c r="CT89" s="85"/>
      <c r="CU89" s="85">
        <v>57876</v>
      </c>
      <c r="CV89" s="67"/>
      <c r="CW89" s="67"/>
      <c r="CX89" s="67"/>
      <c r="CY89" s="67"/>
      <c r="DA89" s="85">
        <v>57876</v>
      </c>
      <c r="DB89" s="67"/>
      <c r="DC89" s="67"/>
      <c r="DD89" s="67"/>
      <c r="DE89" s="40">
        <v>0</v>
      </c>
      <c r="DG89" s="85">
        <v>57876</v>
      </c>
      <c r="DH89" s="67"/>
      <c r="DI89" s="67"/>
      <c r="DJ89" s="67"/>
      <c r="DK89" s="40">
        <v>0</v>
      </c>
      <c r="DM89" s="85">
        <v>57876</v>
      </c>
      <c r="DN89" s="67"/>
      <c r="DO89" s="67"/>
      <c r="DP89" s="67"/>
      <c r="DQ89" s="67"/>
      <c r="DR89" s="40">
        <f t="shared" si="22"/>
        <v>0</v>
      </c>
      <c r="DT89" s="85">
        <v>57876</v>
      </c>
      <c r="DU89" s="67"/>
      <c r="DV89" s="67"/>
      <c r="DW89" s="67"/>
      <c r="DX89" s="67"/>
      <c r="DY89" s="40">
        <f t="shared" si="23"/>
        <v>0</v>
      </c>
      <c r="EA89" s="85">
        <v>57876</v>
      </c>
      <c r="EB89" s="67"/>
      <c r="EC89" s="67"/>
      <c r="ED89" s="67"/>
      <c r="EE89" s="67"/>
      <c r="EF89" s="40">
        <f t="shared" si="24"/>
        <v>0</v>
      </c>
      <c r="EH89" s="85">
        <v>57876</v>
      </c>
      <c r="EI89" s="67"/>
      <c r="EJ89" s="67"/>
      <c r="EK89" s="67"/>
      <c r="EL89" s="67"/>
      <c r="EM89" s="40">
        <f t="shared" si="25"/>
        <v>0</v>
      </c>
    </row>
    <row r="90" spans="2:143" x14ac:dyDescent="0.4">
      <c r="B90" s="85">
        <v>58075</v>
      </c>
      <c r="C90" s="85"/>
      <c r="D90" s="85">
        <v>58059</v>
      </c>
      <c r="E90" s="40">
        <f t="shared" si="26"/>
        <v>0</v>
      </c>
      <c r="F90" s="40">
        <f t="shared" si="27"/>
        <v>0</v>
      </c>
      <c r="G90" s="40">
        <f t="shared" si="28"/>
        <v>0</v>
      </c>
      <c r="H90" s="39">
        <v>0</v>
      </c>
      <c r="I90" s="40">
        <f t="shared" si="29"/>
        <v>0</v>
      </c>
      <c r="J90" s="40"/>
      <c r="L90" s="85">
        <v>58059</v>
      </c>
      <c r="M90" s="40"/>
      <c r="N90" s="40"/>
      <c r="O90" s="40"/>
      <c r="P90" s="40"/>
      <c r="Q90" s="40">
        <f t="shared" si="30"/>
        <v>0</v>
      </c>
      <c r="S90" s="85">
        <v>58059</v>
      </c>
      <c r="T90" s="40"/>
      <c r="U90" s="40"/>
      <c r="V90" s="40"/>
      <c r="W90" s="40"/>
      <c r="X90" s="40">
        <v>0</v>
      </c>
      <c r="Z90" s="85">
        <v>58059</v>
      </c>
      <c r="AA90" s="40"/>
      <c r="AB90" s="40"/>
      <c r="AC90" s="40"/>
      <c r="AD90" s="40"/>
      <c r="AE90" s="40">
        <v>0</v>
      </c>
      <c r="AG90" s="85">
        <v>58059</v>
      </c>
      <c r="AH90" s="40"/>
      <c r="AI90" s="40"/>
      <c r="AJ90" s="40"/>
      <c r="AK90" s="40"/>
      <c r="AL90" s="40">
        <v>0</v>
      </c>
      <c r="AN90" s="85">
        <v>58059</v>
      </c>
      <c r="AO90" s="40"/>
      <c r="AP90" s="40"/>
      <c r="AQ90" s="40"/>
      <c r="AR90" s="40">
        <v>0</v>
      </c>
      <c r="AT90" s="85">
        <v>58059</v>
      </c>
      <c r="AU90" s="40"/>
      <c r="AV90" s="87">
        <v>0</v>
      </c>
      <c r="AW90" s="40"/>
      <c r="AX90" s="40">
        <v>0</v>
      </c>
      <c r="AZ90" s="85">
        <v>58059</v>
      </c>
      <c r="BA90" s="40"/>
      <c r="BB90" s="87"/>
      <c r="BC90" s="40"/>
      <c r="BD90" s="40"/>
      <c r="BE90" s="40">
        <f t="shared" si="18"/>
        <v>0</v>
      </c>
      <c r="BG90" s="85">
        <v>58059</v>
      </c>
      <c r="BI90" s="40"/>
      <c r="BJ90" s="87"/>
      <c r="BL90" s="40">
        <v>0</v>
      </c>
      <c r="BN90" s="85">
        <v>58059</v>
      </c>
      <c r="BO90" s="40"/>
      <c r="BP90" s="87"/>
      <c r="BQ90" s="40"/>
      <c r="BR90" s="87"/>
      <c r="BS90" s="40"/>
      <c r="BT90" s="87"/>
      <c r="BU90" s="40"/>
      <c r="BV90" s="87"/>
      <c r="BW90" s="40"/>
      <c r="BY90" s="40">
        <f t="shared" si="31"/>
        <v>0</v>
      </c>
      <c r="CA90" s="85">
        <v>58059</v>
      </c>
      <c r="CB90" s="40"/>
      <c r="CC90" s="87"/>
      <c r="CD90" s="40"/>
      <c r="CE90" s="40">
        <f t="shared" si="20"/>
        <v>0</v>
      </c>
      <c r="CG90" s="85">
        <v>58059</v>
      </c>
      <c r="CL90" s="40">
        <f t="shared" si="21"/>
        <v>0</v>
      </c>
      <c r="CN90" s="85">
        <v>58059</v>
      </c>
      <c r="CS90" s="40">
        <f t="shared" si="19"/>
        <v>0</v>
      </c>
      <c r="CT90" s="85"/>
      <c r="CU90" s="85">
        <v>58059</v>
      </c>
      <c r="CV90" s="67"/>
      <c r="CW90" s="67"/>
      <c r="CX90" s="67"/>
      <c r="CY90" s="67"/>
      <c r="DA90" s="85">
        <v>58059</v>
      </c>
      <c r="DB90" s="67"/>
      <c r="DC90" s="67"/>
      <c r="DD90" s="67"/>
      <c r="DE90" s="40">
        <v>0</v>
      </c>
      <c r="DG90" s="85">
        <v>58059</v>
      </c>
      <c r="DH90" s="67"/>
      <c r="DI90" s="67"/>
      <c r="DJ90" s="67"/>
      <c r="DK90" s="40">
        <v>0</v>
      </c>
      <c r="DM90" s="85">
        <v>58059</v>
      </c>
      <c r="DN90" s="67"/>
      <c r="DO90" s="67"/>
      <c r="DP90" s="67"/>
      <c r="DQ90" s="67"/>
      <c r="DR90" s="40">
        <f t="shared" si="22"/>
        <v>0</v>
      </c>
      <c r="DT90" s="85">
        <v>58059</v>
      </c>
      <c r="DU90" s="67"/>
      <c r="DV90" s="67"/>
      <c r="DW90" s="67"/>
      <c r="DX90" s="67"/>
      <c r="DY90" s="40">
        <f t="shared" si="23"/>
        <v>0</v>
      </c>
      <c r="EA90" s="85">
        <v>58059</v>
      </c>
      <c r="EB90" s="67"/>
      <c r="EC90" s="67"/>
      <c r="ED90" s="67"/>
      <c r="EE90" s="67"/>
      <c r="EF90" s="40">
        <f t="shared" si="24"/>
        <v>0</v>
      </c>
      <c r="EH90" s="85">
        <v>58059</v>
      </c>
      <c r="EI90" s="67"/>
      <c r="EJ90" s="67"/>
      <c r="EK90" s="67"/>
      <c r="EL90" s="67"/>
      <c r="EM90" s="40">
        <f t="shared" si="25"/>
        <v>0</v>
      </c>
    </row>
    <row r="91" spans="2:143" x14ac:dyDescent="0.4">
      <c r="B91" s="85">
        <v>58256</v>
      </c>
      <c r="C91" s="85"/>
      <c r="D91" s="85">
        <v>58241</v>
      </c>
      <c r="E91" s="40">
        <f t="shared" si="26"/>
        <v>0</v>
      </c>
      <c r="F91" s="40">
        <f t="shared" si="27"/>
        <v>0</v>
      </c>
      <c r="G91" s="40">
        <f t="shared" si="28"/>
        <v>0</v>
      </c>
      <c r="H91" s="39">
        <v>0</v>
      </c>
      <c r="I91" s="40">
        <f t="shared" si="29"/>
        <v>0</v>
      </c>
      <c r="J91" s="40">
        <f>SUM(I90:I91)</f>
        <v>0</v>
      </c>
      <c r="L91" s="85">
        <v>58241</v>
      </c>
      <c r="M91" s="40"/>
      <c r="N91" s="40"/>
      <c r="O91" s="40"/>
      <c r="P91" s="40"/>
      <c r="Q91" s="40">
        <f t="shared" si="30"/>
        <v>0</v>
      </c>
      <c r="S91" s="85">
        <v>58241</v>
      </c>
      <c r="T91" s="40"/>
      <c r="U91" s="40"/>
      <c r="V91" s="40"/>
      <c r="W91" s="40"/>
      <c r="X91" s="40">
        <v>0</v>
      </c>
      <c r="Z91" s="85">
        <v>58241</v>
      </c>
      <c r="AA91" s="40"/>
      <c r="AB91" s="40"/>
      <c r="AC91" s="40"/>
      <c r="AD91" s="40"/>
      <c r="AE91" s="40">
        <v>0</v>
      </c>
      <c r="AG91" s="85">
        <v>58241</v>
      </c>
      <c r="AH91" s="40"/>
      <c r="AI91" s="40"/>
      <c r="AJ91" s="40"/>
      <c r="AK91" s="40"/>
      <c r="AL91" s="40">
        <v>0</v>
      </c>
      <c r="AN91" s="85">
        <v>58241</v>
      </c>
      <c r="AO91" s="40"/>
      <c r="AP91" s="40"/>
      <c r="AQ91" s="40"/>
      <c r="AR91" s="40">
        <v>0</v>
      </c>
      <c r="AT91" s="85">
        <v>58241</v>
      </c>
      <c r="AU91" s="40"/>
      <c r="AV91" s="87">
        <v>0</v>
      </c>
      <c r="AW91" s="40"/>
      <c r="AX91" s="40">
        <v>0</v>
      </c>
      <c r="AZ91" s="85">
        <v>58241</v>
      </c>
      <c r="BA91" s="40"/>
      <c r="BB91" s="87"/>
      <c r="BC91" s="40"/>
      <c r="BD91" s="40"/>
      <c r="BE91" s="40">
        <f t="shared" si="18"/>
        <v>0</v>
      </c>
      <c r="BG91" s="85">
        <v>58241</v>
      </c>
      <c r="BI91" s="40"/>
      <c r="BJ91" s="87"/>
      <c r="BL91" s="40">
        <v>0</v>
      </c>
      <c r="BN91" s="85">
        <v>58241</v>
      </c>
      <c r="BO91" s="40"/>
      <c r="BP91" s="87"/>
      <c r="BQ91" s="40"/>
      <c r="BR91" s="87"/>
      <c r="BS91" s="40"/>
      <c r="BT91" s="87"/>
      <c r="BU91" s="40"/>
      <c r="BV91" s="87"/>
      <c r="BW91" s="40"/>
      <c r="BY91" s="40">
        <f t="shared" si="31"/>
        <v>0</v>
      </c>
      <c r="CA91" s="85">
        <v>58241</v>
      </c>
      <c r="CB91" s="40"/>
      <c r="CC91" s="87"/>
      <c r="CD91" s="40"/>
      <c r="CE91" s="40">
        <f t="shared" si="20"/>
        <v>0</v>
      </c>
      <c r="CG91" s="85">
        <v>58241</v>
      </c>
      <c r="CL91" s="40">
        <f t="shared" si="21"/>
        <v>0</v>
      </c>
      <c r="CN91" s="85">
        <v>58241</v>
      </c>
      <c r="CS91" s="40">
        <f t="shared" si="19"/>
        <v>0</v>
      </c>
      <c r="CT91" s="85"/>
      <c r="CU91" s="85">
        <v>58241</v>
      </c>
      <c r="CV91" s="67"/>
      <c r="CW91" s="67"/>
      <c r="CX91" s="67"/>
      <c r="CY91" s="67"/>
      <c r="DA91" s="85">
        <v>58241</v>
      </c>
      <c r="DB91" s="67"/>
      <c r="DC91" s="67"/>
      <c r="DD91" s="67"/>
      <c r="DE91" s="40">
        <v>0</v>
      </c>
      <c r="DG91" s="85">
        <v>58241</v>
      </c>
      <c r="DH91" s="67"/>
      <c r="DI91" s="67"/>
      <c r="DJ91" s="67"/>
      <c r="DK91" s="40">
        <v>0</v>
      </c>
      <c r="DM91" s="85">
        <v>58241</v>
      </c>
      <c r="DN91" s="67"/>
      <c r="DO91" s="67"/>
      <c r="DP91" s="67"/>
      <c r="DQ91" s="67"/>
      <c r="DR91" s="40">
        <f t="shared" si="22"/>
        <v>0</v>
      </c>
      <c r="DT91" s="85">
        <v>58241</v>
      </c>
      <c r="DU91" s="67"/>
      <c r="DV91" s="67"/>
      <c r="DW91" s="67"/>
      <c r="DX91" s="67"/>
      <c r="DY91" s="40">
        <f t="shared" si="23"/>
        <v>0</v>
      </c>
      <c r="EA91" s="85">
        <v>58241</v>
      </c>
      <c r="EB91" s="67"/>
      <c r="EC91" s="67"/>
      <c r="ED91" s="67"/>
      <c r="EE91" s="67"/>
      <c r="EF91" s="40">
        <f t="shared" si="24"/>
        <v>0</v>
      </c>
      <c r="EH91" s="85">
        <v>58241</v>
      </c>
      <c r="EI91" s="67"/>
      <c r="EJ91" s="67"/>
      <c r="EK91" s="67"/>
      <c r="EL91" s="67"/>
      <c r="EM91" s="40">
        <f t="shared" si="25"/>
        <v>0</v>
      </c>
    </row>
    <row r="92" spans="2:143" x14ac:dyDescent="0.4">
      <c r="B92" s="85">
        <v>58440</v>
      </c>
      <c r="C92" s="85"/>
      <c r="D92" s="85">
        <v>58424</v>
      </c>
      <c r="E92" s="40">
        <f t="shared" si="26"/>
        <v>0</v>
      </c>
      <c r="F92" s="40">
        <f t="shared" si="27"/>
        <v>0</v>
      </c>
      <c r="G92" s="40">
        <f t="shared" si="28"/>
        <v>0</v>
      </c>
      <c r="H92" s="39">
        <v>0</v>
      </c>
      <c r="I92" s="40">
        <f t="shared" si="29"/>
        <v>0</v>
      </c>
      <c r="J92" s="40"/>
      <c r="L92" s="85">
        <v>58424</v>
      </c>
      <c r="M92" s="40"/>
      <c r="N92" s="40"/>
      <c r="O92" s="40"/>
      <c r="P92" s="40"/>
      <c r="Q92" s="40">
        <f t="shared" si="30"/>
        <v>0</v>
      </c>
      <c r="S92" s="85">
        <v>58424</v>
      </c>
      <c r="T92" s="40"/>
      <c r="U92" s="40"/>
      <c r="V92" s="40"/>
      <c r="W92" s="40"/>
      <c r="X92" s="40">
        <v>0</v>
      </c>
      <c r="Z92" s="85">
        <v>58424</v>
      </c>
      <c r="AA92" s="40"/>
      <c r="AB92" s="40"/>
      <c r="AC92" s="40"/>
      <c r="AD92" s="40"/>
      <c r="AE92" s="40">
        <v>0</v>
      </c>
      <c r="AG92" s="85">
        <v>58424</v>
      </c>
      <c r="AH92" s="40"/>
      <c r="AI92" s="40"/>
      <c r="AJ92" s="40"/>
      <c r="AK92" s="40"/>
      <c r="AL92" s="40">
        <v>0</v>
      </c>
      <c r="AN92" s="85">
        <v>58424</v>
      </c>
      <c r="AO92" s="40"/>
      <c r="AP92" s="40"/>
      <c r="AQ92" s="40"/>
      <c r="AR92" s="40">
        <v>0</v>
      </c>
      <c r="AT92" s="85">
        <v>58424</v>
      </c>
      <c r="AU92" s="40"/>
      <c r="AV92" s="87">
        <v>0</v>
      </c>
      <c r="AW92" s="40"/>
      <c r="AX92" s="40">
        <v>0</v>
      </c>
      <c r="AZ92" s="85">
        <v>58424</v>
      </c>
      <c r="BA92" s="40"/>
      <c r="BB92" s="87"/>
      <c r="BC92" s="40"/>
      <c r="BD92" s="40"/>
      <c r="BE92" s="40">
        <f t="shared" si="18"/>
        <v>0</v>
      </c>
      <c r="BG92" s="85">
        <v>58424</v>
      </c>
      <c r="BI92" s="40"/>
      <c r="BJ92" s="87"/>
      <c r="BL92" s="40">
        <v>0</v>
      </c>
      <c r="BN92" s="85">
        <v>58424</v>
      </c>
      <c r="BO92" s="40"/>
      <c r="BP92" s="87"/>
      <c r="BQ92" s="40"/>
      <c r="BR92" s="87"/>
      <c r="BS92" s="40"/>
      <c r="BT92" s="87"/>
      <c r="BU92" s="40"/>
      <c r="BV92" s="87"/>
      <c r="BW92" s="40"/>
      <c r="BY92" s="40">
        <f t="shared" si="31"/>
        <v>0</v>
      </c>
      <c r="CA92" s="85">
        <v>58424</v>
      </c>
      <c r="CB92" s="40"/>
      <c r="CC92" s="87"/>
      <c r="CD92" s="40"/>
      <c r="CE92" s="40">
        <f t="shared" si="20"/>
        <v>0</v>
      </c>
      <c r="CG92" s="85">
        <v>58424</v>
      </c>
      <c r="CL92" s="40">
        <f t="shared" si="21"/>
        <v>0</v>
      </c>
      <c r="CN92" s="85">
        <v>58424</v>
      </c>
      <c r="CS92" s="40">
        <f t="shared" si="19"/>
        <v>0</v>
      </c>
      <c r="CT92" s="85"/>
      <c r="CU92" s="85">
        <v>58424</v>
      </c>
      <c r="CV92" s="67"/>
      <c r="CW92" s="67"/>
      <c r="CX92" s="67"/>
      <c r="CY92" s="67"/>
      <c r="DA92" s="85">
        <v>58424</v>
      </c>
      <c r="DB92" s="67"/>
      <c r="DC92" s="67"/>
      <c r="DD92" s="67"/>
      <c r="DE92" s="40">
        <v>0</v>
      </c>
      <c r="DG92" s="85">
        <v>58424</v>
      </c>
      <c r="DH92" s="67"/>
      <c r="DI92" s="67"/>
      <c r="DJ92" s="67"/>
      <c r="DK92" s="40">
        <v>0</v>
      </c>
      <c r="DM92" s="85">
        <v>58424</v>
      </c>
      <c r="DN92" s="67"/>
      <c r="DO92" s="67"/>
      <c r="DP92" s="67"/>
      <c r="DQ92" s="67"/>
      <c r="DR92" s="40">
        <f t="shared" si="22"/>
        <v>0</v>
      </c>
      <c r="DT92" s="85">
        <v>58424</v>
      </c>
      <c r="DU92" s="67"/>
      <c r="DV92" s="67"/>
      <c r="DW92" s="67"/>
      <c r="DX92" s="67"/>
      <c r="DY92" s="40">
        <f t="shared" si="23"/>
        <v>0</v>
      </c>
      <c r="EA92" s="85">
        <v>58424</v>
      </c>
      <c r="EB92" s="67"/>
      <c r="EC92" s="67"/>
      <c r="ED92" s="67"/>
      <c r="EE92" s="67"/>
      <c r="EF92" s="40">
        <f t="shared" si="24"/>
        <v>0</v>
      </c>
      <c r="EH92" s="85">
        <v>58424</v>
      </c>
      <c r="EI92" s="67"/>
      <c r="EJ92" s="67"/>
      <c r="EK92" s="67"/>
      <c r="EL92" s="67"/>
      <c r="EM92" s="40">
        <f t="shared" si="25"/>
        <v>0</v>
      </c>
    </row>
    <row r="93" spans="2:143" x14ac:dyDescent="0.4">
      <c r="B93" s="85">
        <v>58622</v>
      </c>
      <c r="C93" s="85"/>
      <c r="D93" s="85">
        <v>58607</v>
      </c>
      <c r="E93" s="40">
        <f t="shared" si="26"/>
        <v>0</v>
      </c>
      <c r="F93" s="40">
        <f t="shared" si="27"/>
        <v>0</v>
      </c>
      <c r="G93" s="40">
        <f t="shared" si="28"/>
        <v>0</v>
      </c>
      <c r="H93" s="39">
        <v>0</v>
      </c>
      <c r="I93" s="40">
        <f t="shared" si="29"/>
        <v>0</v>
      </c>
      <c r="J93" s="40">
        <f>SUM(I92:I93)</f>
        <v>0</v>
      </c>
      <c r="L93" s="85">
        <v>58607</v>
      </c>
      <c r="M93" s="40"/>
      <c r="N93" s="40"/>
      <c r="O93" s="40"/>
      <c r="P93" s="40"/>
      <c r="Q93" s="40">
        <f t="shared" si="30"/>
        <v>0</v>
      </c>
      <c r="S93" s="85">
        <v>58607</v>
      </c>
      <c r="T93" s="40"/>
      <c r="U93" s="40"/>
      <c r="V93" s="40"/>
      <c r="W93" s="40"/>
      <c r="X93" s="40">
        <v>0</v>
      </c>
      <c r="Z93" s="85">
        <v>58607</v>
      </c>
      <c r="AA93" s="40"/>
      <c r="AB93" s="40"/>
      <c r="AC93" s="40"/>
      <c r="AD93" s="40"/>
      <c r="AE93" s="40">
        <v>0</v>
      </c>
      <c r="AG93" s="85">
        <v>58607</v>
      </c>
      <c r="AH93" s="40"/>
      <c r="AI93" s="40"/>
      <c r="AJ93" s="40"/>
      <c r="AK93" s="40"/>
      <c r="AL93" s="40">
        <v>0</v>
      </c>
      <c r="AN93" s="85">
        <v>58607</v>
      </c>
      <c r="AO93" s="40"/>
      <c r="AP93" s="40"/>
      <c r="AQ93" s="40"/>
      <c r="AR93" s="40">
        <v>0</v>
      </c>
      <c r="AT93" s="85">
        <v>58607</v>
      </c>
      <c r="AU93" s="40"/>
      <c r="AV93" s="87">
        <v>0</v>
      </c>
      <c r="AW93" s="40"/>
      <c r="AX93" s="40">
        <v>0</v>
      </c>
      <c r="AZ93" s="85">
        <v>58607</v>
      </c>
      <c r="BA93" s="40"/>
      <c r="BB93" s="87"/>
      <c r="BC93" s="40"/>
      <c r="BD93" s="40"/>
      <c r="BE93" s="40">
        <f t="shared" si="18"/>
        <v>0</v>
      </c>
      <c r="BG93" s="85">
        <v>58607</v>
      </c>
      <c r="BI93" s="40"/>
      <c r="BJ93" s="87"/>
      <c r="BL93" s="40">
        <v>0</v>
      </c>
      <c r="BN93" s="85">
        <v>58607</v>
      </c>
      <c r="BO93" s="40"/>
      <c r="BP93" s="87"/>
      <c r="BQ93" s="40"/>
      <c r="BR93" s="87"/>
      <c r="BS93" s="40"/>
      <c r="BT93" s="87"/>
      <c r="BU93" s="40"/>
      <c r="BV93" s="87"/>
      <c r="BW93" s="40"/>
      <c r="BY93" s="40">
        <f t="shared" si="31"/>
        <v>0</v>
      </c>
      <c r="CA93" s="85">
        <v>58607</v>
      </c>
      <c r="CB93" s="40"/>
      <c r="CC93" s="87"/>
      <c r="CD93" s="40"/>
      <c r="CE93" s="40">
        <f t="shared" si="20"/>
        <v>0</v>
      </c>
      <c r="CG93" s="85">
        <v>58607</v>
      </c>
      <c r="CL93" s="40">
        <f t="shared" si="21"/>
        <v>0</v>
      </c>
      <c r="CN93" s="85">
        <v>58607</v>
      </c>
      <c r="CS93" s="40">
        <f t="shared" si="19"/>
        <v>0</v>
      </c>
      <c r="CT93" s="85"/>
      <c r="CU93" s="85">
        <v>58607</v>
      </c>
      <c r="CV93" s="67"/>
      <c r="CW93" s="67"/>
      <c r="CX93" s="67"/>
      <c r="CY93" s="67"/>
      <c r="DA93" s="85">
        <v>58607</v>
      </c>
      <c r="DB93" s="67"/>
      <c r="DC93" s="67"/>
      <c r="DD93" s="67"/>
      <c r="DE93" s="40">
        <v>0</v>
      </c>
      <c r="DG93" s="85">
        <v>58607</v>
      </c>
      <c r="DH93" s="67"/>
      <c r="DI93" s="67"/>
      <c r="DJ93" s="67"/>
      <c r="DK93" s="40">
        <v>0</v>
      </c>
      <c r="DM93" s="85">
        <v>58607</v>
      </c>
      <c r="DN93" s="67"/>
      <c r="DO93" s="67"/>
      <c r="DP93" s="67"/>
      <c r="DQ93" s="67"/>
      <c r="DR93" s="40">
        <f t="shared" si="22"/>
        <v>0</v>
      </c>
      <c r="DT93" s="85">
        <v>58607</v>
      </c>
      <c r="DU93" s="67"/>
      <c r="DV93" s="67"/>
      <c r="DW93" s="67"/>
      <c r="DX93" s="67"/>
      <c r="DY93" s="40">
        <f t="shared" si="23"/>
        <v>0</v>
      </c>
      <c r="EA93" s="85">
        <v>58607</v>
      </c>
      <c r="EB93" s="67"/>
      <c r="EC93" s="67"/>
      <c r="ED93" s="67"/>
      <c r="EE93" s="67"/>
      <c r="EF93" s="40">
        <f t="shared" si="24"/>
        <v>0</v>
      </c>
      <c r="EH93" s="85">
        <v>58607</v>
      </c>
      <c r="EI93" s="67"/>
      <c r="EJ93" s="67"/>
      <c r="EK93" s="67"/>
      <c r="EL93" s="67"/>
      <c r="EM93" s="40">
        <f t="shared" si="25"/>
        <v>0</v>
      </c>
    </row>
    <row r="95" spans="2:143" x14ac:dyDescent="0.4">
      <c r="B95" s="95" t="s">
        <v>40</v>
      </c>
      <c r="C95" s="95"/>
      <c r="D95" s="95"/>
      <c r="E95" s="96">
        <f t="shared" ref="E95:J95" si="32">SUM(E11:E94)</f>
        <v>926008926.10000002</v>
      </c>
      <c r="F95" s="96">
        <f t="shared" si="32"/>
        <v>1323578757.5</v>
      </c>
      <c r="G95" s="96">
        <f t="shared" si="32"/>
        <v>7271073.8999999985</v>
      </c>
      <c r="H95" s="96">
        <f t="shared" si="32"/>
        <v>0</v>
      </c>
      <c r="I95" s="96">
        <f t="shared" si="32"/>
        <v>2256858757.5</v>
      </c>
      <c r="J95" s="96">
        <f t="shared" si="32"/>
        <v>2256858757.5</v>
      </c>
      <c r="L95" s="95" t="s">
        <v>40</v>
      </c>
      <c r="M95" s="96">
        <f>SUM(M11:M94)</f>
        <v>55948926.100000001</v>
      </c>
      <c r="N95" s="96"/>
      <c r="O95" s="96">
        <f>SUM(O11:O94)</f>
        <v>16384881.25</v>
      </c>
      <c r="P95" s="96">
        <f>SUM(P11:P94)</f>
        <v>7271073.8999999985</v>
      </c>
      <c r="Q95" s="96">
        <f>SUM(Q11:Q94)</f>
        <v>79604881.25</v>
      </c>
      <c r="S95" s="95" t="s">
        <v>40</v>
      </c>
      <c r="T95" s="96">
        <f>SUM(T11:T94)</f>
        <v>0</v>
      </c>
      <c r="U95" s="96"/>
      <c r="V95" s="96">
        <f>SUM(V11:V94)</f>
        <v>0</v>
      </c>
      <c r="W95" s="96">
        <f>SUM(W11:W94)</f>
        <v>0</v>
      </c>
      <c r="X95" s="96">
        <f>SUM(X11:X94)</f>
        <v>0</v>
      </c>
      <c r="Z95" s="95" t="s">
        <v>40</v>
      </c>
      <c r="AA95" s="96">
        <f>SUM(AA11:AA94)</f>
        <v>0</v>
      </c>
      <c r="AB95" s="96"/>
      <c r="AC95" s="96">
        <f>SUM(AC11:AC94)</f>
        <v>0</v>
      </c>
      <c r="AD95" s="96">
        <f>SUM(AD11:AD94)</f>
        <v>0</v>
      </c>
      <c r="AE95" s="96">
        <f>SUM(AE11:AE94)</f>
        <v>0</v>
      </c>
      <c r="AG95" s="95" t="s">
        <v>40</v>
      </c>
      <c r="AH95" s="96">
        <f>SUM(AH11:AH94)</f>
        <v>0</v>
      </c>
      <c r="AI95" s="96"/>
      <c r="AJ95" s="96">
        <f>SUM(AJ11:AJ94)</f>
        <v>0</v>
      </c>
      <c r="AK95" s="96">
        <f>SUM(AK11:AK94)</f>
        <v>0</v>
      </c>
      <c r="AL95" s="96">
        <f>SUM(AL11:AL94)</f>
        <v>0</v>
      </c>
      <c r="AN95" s="95" t="s">
        <v>40</v>
      </c>
      <c r="AO95" s="96">
        <f>SUM(AO11:AO94)</f>
        <v>0</v>
      </c>
      <c r="AP95" s="96"/>
      <c r="AQ95" s="96">
        <f>SUM(AQ11:AQ94)</f>
        <v>0</v>
      </c>
      <c r="AR95" s="96">
        <f>SUM(AR11:AR94)</f>
        <v>0</v>
      </c>
      <c r="AT95" s="95" t="s">
        <v>40</v>
      </c>
      <c r="AU95" s="96">
        <f>SUM(AU11:AU94)</f>
        <v>0</v>
      </c>
      <c r="AV95" s="96"/>
      <c r="AW95" s="96">
        <f>SUM(AW11:AW94)</f>
        <v>0</v>
      </c>
      <c r="AX95" s="96">
        <f>SUM(AX11:AX94)</f>
        <v>0</v>
      </c>
      <c r="AZ95" s="95" t="s">
        <v>40</v>
      </c>
      <c r="BA95" s="96">
        <f>SUM(BA11:BA94)</f>
        <v>0</v>
      </c>
      <c r="BB95" s="96"/>
      <c r="BC95" s="96">
        <f>SUM(BC11:BC94)</f>
        <v>0</v>
      </c>
      <c r="BD95" s="96">
        <f>SUM(BD11:BD94)</f>
        <v>0</v>
      </c>
      <c r="BE95" s="96">
        <f>SUM(BE11:BE94)</f>
        <v>0</v>
      </c>
      <c r="BF95" s="95"/>
      <c r="BG95" s="95" t="s">
        <v>40</v>
      </c>
      <c r="BH95" s="96">
        <f>SUM(BH11:BH94)</f>
        <v>0</v>
      </c>
      <c r="BI95" s="96"/>
      <c r="BJ95" s="96"/>
      <c r="BK95" s="96">
        <f>SUM(BK11:BK94)</f>
        <v>0</v>
      </c>
      <c r="BL95" s="96">
        <f>SUM(BL11:BL94)</f>
        <v>0</v>
      </c>
      <c r="BM95" s="67"/>
      <c r="BN95" s="95" t="s">
        <v>40</v>
      </c>
      <c r="BO95" s="96">
        <f>SUM(BO11:BO94)</f>
        <v>200000000</v>
      </c>
      <c r="BP95" s="96"/>
      <c r="BQ95" s="96">
        <f>SUM(BQ11:BQ94)</f>
        <v>255000000</v>
      </c>
      <c r="BR95" s="96"/>
      <c r="BS95" s="96">
        <f>SUM(BS11:BS94)</f>
        <v>208180000</v>
      </c>
      <c r="BT95" s="96"/>
      <c r="BU95" s="96">
        <f>SUM(BU11:BU94)</f>
        <v>55000000</v>
      </c>
      <c r="BV95" s="96"/>
      <c r="BW95" s="96">
        <f>SUM(BW11:BW94)</f>
        <v>1054503663.75</v>
      </c>
      <c r="BX95" s="96">
        <f>SUM(BX11:BX94)</f>
        <v>0</v>
      </c>
      <c r="BY95" s="96">
        <f>SUM(BY11:BY94)</f>
        <v>1772683663.75</v>
      </c>
      <c r="CA95" s="95" t="s">
        <v>40</v>
      </c>
      <c r="CB95" s="96">
        <f>SUM(CB11:CB94)</f>
        <v>151880000</v>
      </c>
      <c r="CC95" s="96"/>
      <c r="CD95" s="96">
        <f>SUM(CD11:CD94)</f>
        <v>252690212.5</v>
      </c>
      <c r="CE95" s="96">
        <f>SUM(CE11:CE94)</f>
        <v>404570212.5</v>
      </c>
      <c r="CF95" s="67"/>
      <c r="CG95" s="95" t="s">
        <v>40</v>
      </c>
      <c r="CH95" s="96">
        <f>SUM(CH11:CH94)</f>
        <v>0</v>
      </c>
      <c r="CI95" s="96"/>
      <c r="CJ95" s="96">
        <f>SUM(CJ11:CJ94)</f>
        <v>0</v>
      </c>
      <c r="CK95" s="96">
        <f>SUM(CK11:CK94)</f>
        <v>0</v>
      </c>
      <c r="CL95" s="96">
        <f>SUM(CL11:CL94)</f>
        <v>0</v>
      </c>
      <c r="CM95" s="67"/>
      <c r="CN95" s="95" t="s">
        <v>40</v>
      </c>
      <c r="CO95" s="96">
        <f>SUM(CO11:CO94)</f>
        <v>0</v>
      </c>
      <c r="CP95" s="96"/>
      <c r="CQ95" s="96">
        <f>SUM(CQ11:CQ94)</f>
        <v>0</v>
      </c>
      <c r="CR95" s="96">
        <f>SUM(CR11:CR94)</f>
        <v>0</v>
      </c>
      <c r="CS95" s="96">
        <f>SUM(CS11:CS94)</f>
        <v>0</v>
      </c>
      <c r="CT95" s="67"/>
      <c r="CU95" s="95" t="s">
        <v>40</v>
      </c>
      <c r="CV95" s="96">
        <f>SUM(CV11:CV94)</f>
        <v>0</v>
      </c>
      <c r="CW95" s="96">
        <f>SUM(CW11:CW94)</f>
        <v>0</v>
      </c>
      <c r="CX95" s="96">
        <f>SUM(CX11:CX94)</f>
        <v>0</v>
      </c>
      <c r="CY95" s="96">
        <f>SUM(CY11:CY94)</f>
        <v>0</v>
      </c>
      <c r="CZ95" s="67"/>
      <c r="DA95" s="95" t="s">
        <v>40</v>
      </c>
      <c r="DB95" s="96">
        <f>SUM(DB11:DB94)</f>
        <v>0</v>
      </c>
      <c r="DC95" s="96">
        <v>1.1550000000000002</v>
      </c>
      <c r="DD95" s="96">
        <f>SUM(DD11:DD94)</f>
        <v>0</v>
      </c>
      <c r="DE95" s="96">
        <f>SUM(DE11:DE94)</f>
        <v>0</v>
      </c>
      <c r="DF95" s="67"/>
      <c r="DG95" s="95" t="s">
        <v>40</v>
      </c>
      <c r="DH95" s="96">
        <f>SUM(DH11:DH94)</f>
        <v>0</v>
      </c>
      <c r="DI95" s="96">
        <v>0.495</v>
      </c>
      <c r="DJ95" s="96">
        <f>SUM(DJ11:DJ94)</f>
        <v>0</v>
      </c>
      <c r="DK95" s="96">
        <f>SUM(DK11:DK94)</f>
        <v>0</v>
      </c>
      <c r="DL95" s="67"/>
      <c r="DM95" s="95" t="s">
        <v>40</v>
      </c>
      <c r="DN95" s="96">
        <f>SUM(DN11:DN94)</f>
        <v>0</v>
      </c>
      <c r="DO95" s="96"/>
      <c r="DP95" s="96">
        <f>SUM(DP11:DP94)</f>
        <v>0</v>
      </c>
      <c r="DQ95" s="96">
        <f>SUM(DQ11:DQ94)</f>
        <v>0</v>
      </c>
      <c r="DR95" s="96">
        <f>SUM(DR11:DR94)</f>
        <v>0</v>
      </c>
      <c r="DT95" s="95" t="s">
        <v>40</v>
      </c>
      <c r="DU95" s="96">
        <f>SUM(DU11:DU94)</f>
        <v>0</v>
      </c>
      <c r="DV95" s="96"/>
      <c r="DW95" s="96">
        <f>SUM(DW11:DW94)</f>
        <v>0</v>
      </c>
      <c r="DX95" s="96">
        <f>SUM(DX11:DX94)</f>
        <v>0</v>
      </c>
      <c r="DY95" s="96">
        <f>SUM(DY11:DY94)</f>
        <v>0</v>
      </c>
      <c r="EA95" s="95" t="s">
        <v>40</v>
      </c>
      <c r="EB95" s="96">
        <f>SUM(EB11:EB94)</f>
        <v>0</v>
      </c>
      <c r="EC95" s="96"/>
      <c r="ED95" s="96">
        <f>SUM(ED11:ED94)</f>
        <v>0</v>
      </c>
      <c r="EE95" s="96">
        <f>SUM(EE11:EE94)</f>
        <v>0</v>
      </c>
      <c r="EF95" s="96">
        <f>SUM(EF11:EF94)</f>
        <v>0</v>
      </c>
      <c r="EH95" s="95" t="s">
        <v>40</v>
      </c>
      <c r="EI95" s="96">
        <f>SUM(EI11:EI94)</f>
        <v>0</v>
      </c>
      <c r="EJ95" s="96"/>
      <c r="EK95" s="96">
        <f>SUM(EK11:EK94)</f>
        <v>0</v>
      </c>
      <c r="EL95" s="96">
        <f>SUM(EL11:EL94)</f>
        <v>0</v>
      </c>
      <c r="EM95" s="96">
        <f>SUM(EM11:EM94)</f>
        <v>0</v>
      </c>
    </row>
    <row r="96" spans="2:143" x14ac:dyDescent="0.4">
      <c r="L96" s="97"/>
      <c r="M96" s="98"/>
      <c r="N96" s="98"/>
      <c r="O96" s="98"/>
      <c r="P96" s="98"/>
      <c r="S96" s="97"/>
      <c r="T96" s="98"/>
      <c r="U96" s="98"/>
      <c r="V96" s="98"/>
      <c r="W96" s="98"/>
      <c r="Z96" s="97"/>
      <c r="AA96" s="98"/>
      <c r="AB96" s="98"/>
      <c r="AC96" s="98"/>
      <c r="AD96" s="98"/>
      <c r="AG96" s="97"/>
      <c r="AH96" s="98"/>
      <c r="AI96" s="98"/>
      <c r="AJ96" s="98"/>
      <c r="AK96" s="98"/>
      <c r="AN96" s="97"/>
      <c r="AO96" s="98"/>
      <c r="AP96" s="98"/>
      <c r="AQ96" s="98"/>
      <c r="AR96" s="98"/>
      <c r="AT96" s="97"/>
      <c r="AU96" s="98"/>
      <c r="AV96" s="98"/>
      <c r="AW96" s="98"/>
      <c r="AX96" s="98"/>
      <c r="AZ96" s="97"/>
      <c r="BA96" s="98"/>
      <c r="BB96" s="98"/>
      <c r="BC96" s="98"/>
      <c r="BD96" s="98"/>
      <c r="BI96" s="98"/>
    </row>
    <row r="97" spans="12:61" x14ac:dyDescent="0.4">
      <c r="L97" s="99"/>
      <c r="M97" s="73"/>
      <c r="N97" s="73"/>
      <c r="O97" s="73"/>
      <c r="P97" s="73"/>
      <c r="S97" s="99"/>
      <c r="T97" s="73"/>
      <c r="U97" s="73"/>
      <c r="V97" s="73"/>
      <c r="W97" s="73"/>
      <c r="Z97" s="99"/>
      <c r="AA97" s="73"/>
      <c r="AB97" s="73"/>
      <c r="AC97" s="73"/>
      <c r="AD97" s="73"/>
      <c r="AG97" s="99"/>
      <c r="AH97" s="73"/>
      <c r="AI97" s="73"/>
      <c r="AJ97" s="73"/>
      <c r="AK97" s="73"/>
      <c r="AN97" s="99"/>
      <c r="AO97" s="73"/>
      <c r="AP97" s="73"/>
      <c r="AQ97" s="73"/>
      <c r="AR97" s="73"/>
      <c r="AT97" s="99"/>
      <c r="AU97" s="73"/>
      <c r="AV97" s="73"/>
      <c r="AW97" s="73"/>
      <c r="AX97" s="73"/>
      <c r="AZ97" s="99"/>
      <c r="BA97" s="73"/>
      <c r="BB97" s="73"/>
      <c r="BC97" s="73"/>
      <c r="BD97" s="73"/>
      <c r="BI97" s="73"/>
    </row>
    <row r="98" spans="12:61" x14ac:dyDescent="0.4">
      <c r="L98" s="67"/>
      <c r="M98" s="67"/>
      <c r="N98" s="67"/>
      <c r="O98" s="67"/>
      <c r="P98" s="67"/>
      <c r="Q98" s="67"/>
      <c r="S98" s="67"/>
      <c r="T98" s="67"/>
      <c r="U98" s="67"/>
      <c r="V98" s="67"/>
      <c r="W98" s="67"/>
      <c r="X98" s="67"/>
      <c r="Z98" s="67"/>
      <c r="AA98" s="67"/>
      <c r="AB98" s="67"/>
      <c r="AC98" s="67"/>
      <c r="AD98" s="67"/>
      <c r="AE98" s="67"/>
      <c r="AG98" s="67"/>
      <c r="AH98" s="67"/>
      <c r="AI98" s="67"/>
      <c r="AJ98" s="67"/>
      <c r="AK98" s="67"/>
      <c r="AL98" s="67"/>
      <c r="AN98" s="67"/>
      <c r="AO98" s="67"/>
      <c r="AP98" s="67"/>
      <c r="AQ98" s="67"/>
      <c r="AR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I98" s="67"/>
    </row>
    <row r="99" spans="12:61" x14ac:dyDescent="0.4">
      <c r="L99" s="67"/>
      <c r="M99" s="67"/>
      <c r="N99" s="67"/>
      <c r="O99" s="67"/>
      <c r="P99" s="67"/>
      <c r="Q99" s="67"/>
      <c r="S99" s="67"/>
      <c r="T99" s="67"/>
      <c r="U99" s="67"/>
      <c r="V99" s="67"/>
      <c r="W99" s="67"/>
      <c r="X99" s="67"/>
      <c r="Z99" s="67"/>
      <c r="AA99" s="67"/>
      <c r="AB99" s="67"/>
      <c r="AC99" s="67"/>
      <c r="AD99" s="67"/>
      <c r="AE99" s="67"/>
      <c r="AG99" s="67"/>
      <c r="AH99" s="67"/>
      <c r="AI99" s="67"/>
      <c r="AJ99" s="67"/>
      <c r="AK99" s="67"/>
      <c r="AL99" s="67"/>
      <c r="AN99" s="67"/>
      <c r="AO99" s="67"/>
      <c r="AP99" s="67"/>
      <c r="AQ99" s="67"/>
      <c r="AR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I99" s="67"/>
    </row>
    <row r="100" spans="12:61" x14ac:dyDescent="0.4">
      <c r="L100" s="67"/>
      <c r="M100" s="67"/>
      <c r="N100" s="67"/>
      <c r="O100" s="67"/>
      <c r="P100" s="67"/>
      <c r="Q100" s="67"/>
      <c r="S100" s="67"/>
      <c r="T100" s="67"/>
      <c r="U100" s="67"/>
      <c r="V100" s="67"/>
      <c r="W100" s="67"/>
      <c r="X100" s="67"/>
      <c r="Z100" s="67"/>
      <c r="AA100" s="67"/>
      <c r="AB100" s="67"/>
      <c r="AC100" s="67"/>
      <c r="AD100" s="67"/>
      <c r="AE100" s="67"/>
      <c r="AG100" s="67"/>
      <c r="AH100" s="67"/>
      <c r="AI100" s="67"/>
      <c r="AJ100" s="67"/>
      <c r="AK100" s="67"/>
      <c r="AL100" s="67"/>
      <c r="AN100" s="67"/>
      <c r="AO100" s="67"/>
      <c r="AP100" s="67"/>
      <c r="AQ100" s="67"/>
      <c r="AR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I100" s="67"/>
    </row>
    <row r="101" spans="12:61" x14ac:dyDescent="0.4">
      <c r="L101" s="67"/>
      <c r="M101" s="67"/>
      <c r="N101" s="67"/>
      <c r="O101" s="67"/>
      <c r="P101" s="67"/>
      <c r="Q101" s="67"/>
      <c r="S101" s="67"/>
      <c r="T101" s="67"/>
      <c r="U101" s="67"/>
      <c r="V101" s="67"/>
      <c r="W101" s="67"/>
      <c r="X101" s="67"/>
      <c r="Z101" s="67"/>
      <c r="AA101" s="67"/>
      <c r="AB101" s="67"/>
      <c r="AC101" s="67"/>
      <c r="AD101" s="67"/>
      <c r="AE101" s="67"/>
      <c r="AG101" s="67"/>
      <c r="AH101" s="67"/>
      <c r="AI101" s="67"/>
      <c r="AJ101" s="67"/>
      <c r="AK101" s="67"/>
      <c r="AL101" s="67"/>
      <c r="AN101" s="67"/>
      <c r="AO101" s="67"/>
      <c r="AP101" s="67"/>
      <c r="AQ101" s="67"/>
      <c r="AR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I101" s="67"/>
    </row>
    <row r="102" spans="12:61" x14ac:dyDescent="0.4">
      <c r="L102" s="67"/>
      <c r="M102" s="67"/>
      <c r="N102" s="67"/>
      <c r="O102" s="67"/>
      <c r="P102" s="67"/>
      <c r="Q102" s="67"/>
      <c r="S102" s="67"/>
      <c r="T102" s="67"/>
      <c r="U102" s="67"/>
      <c r="V102" s="67"/>
      <c r="W102" s="67"/>
      <c r="X102" s="67"/>
      <c r="Z102" s="67"/>
      <c r="AA102" s="67"/>
      <c r="AB102" s="67"/>
      <c r="AC102" s="67"/>
      <c r="AD102" s="67"/>
      <c r="AE102" s="67"/>
      <c r="AG102" s="67"/>
      <c r="AH102" s="67"/>
      <c r="AI102" s="67"/>
      <c r="AJ102" s="67"/>
      <c r="AK102" s="67"/>
      <c r="AL102" s="67"/>
      <c r="AN102" s="67"/>
      <c r="AO102" s="67"/>
      <c r="AP102" s="67"/>
      <c r="AQ102" s="67"/>
      <c r="AR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I102" s="67"/>
    </row>
    <row r="103" spans="12:61" x14ac:dyDescent="0.4">
      <c r="L103" s="67"/>
      <c r="M103" s="67"/>
      <c r="N103" s="67"/>
      <c r="O103" s="67"/>
      <c r="P103" s="67"/>
      <c r="Q103" s="67"/>
      <c r="S103" s="67"/>
      <c r="T103" s="67"/>
      <c r="U103" s="67"/>
      <c r="V103" s="67"/>
      <c r="W103" s="67"/>
      <c r="X103" s="67"/>
      <c r="Z103" s="67"/>
      <c r="AA103" s="67"/>
      <c r="AB103" s="67"/>
      <c r="AC103" s="67"/>
      <c r="AD103" s="67"/>
      <c r="AE103" s="67"/>
      <c r="AG103" s="67"/>
      <c r="AH103" s="67"/>
      <c r="AI103" s="67"/>
      <c r="AJ103" s="67"/>
      <c r="AK103" s="67"/>
      <c r="AL103" s="67"/>
      <c r="AN103" s="67"/>
      <c r="AO103" s="67"/>
      <c r="AP103" s="67"/>
      <c r="AQ103" s="67"/>
      <c r="AR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I103" s="67"/>
    </row>
  </sheetData>
  <pageMargins left="0.75" right="0.75" top="0.75" bottom="0.75" header="0.25" footer="0.25"/>
  <pageSetup scale="53" fitToWidth="10" orientation="portrait" r:id="rId1"/>
  <headerFooter alignWithMargins="0"/>
  <colBreaks count="10" manualBreakCount="10">
    <brk id="10" max="1048575" man="1"/>
    <brk id="17" max="1048575" man="1"/>
    <brk id="31" max="1048575" man="1"/>
    <brk id="44" max="1048575" man="1"/>
    <brk id="57" max="1048575" man="1"/>
    <brk id="77" max="1048575" man="1"/>
    <brk id="83" max="1048575" man="1"/>
    <brk id="103" max="1048575" man="1"/>
    <brk id="115" max="1048575" man="1"/>
    <brk id="1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195"/>
  <sheetViews>
    <sheetView zoomScale="80" zoomScaleNormal="80" workbookViewId="0">
      <selection activeCell="H20" sqref="H20"/>
    </sheetView>
  </sheetViews>
  <sheetFormatPr defaultColWidth="10.6640625" defaultRowHeight="13.15" x14ac:dyDescent="0.4"/>
  <cols>
    <col min="1" max="6" width="15.83203125" style="39" customWidth="1"/>
    <col min="7" max="7" width="17.6640625" style="39" customWidth="1"/>
    <col min="8" max="8" width="14.83203125" style="39" bestFit="1" customWidth="1"/>
    <col min="9" max="16384" width="10.6640625" style="39"/>
  </cols>
  <sheetData>
    <row r="2" spans="1:7" s="122" customFormat="1" ht="17.25" x14ac:dyDescent="0.45">
      <c r="A2" s="53" t="s">
        <v>80</v>
      </c>
      <c r="B2" s="53"/>
      <c r="C2" s="53"/>
      <c r="D2" s="53"/>
      <c r="E2" s="121"/>
      <c r="F2" s="121"/>
      <c r="G2" s="121"/>
    </row>
    <row r="3" spans="1:7" s="122" customFormat="1" ht="15" x14ac:dyDescent="0.4">
      <c r="A3" s="62" t="s">
        <v>42</v>
      </c>
      <c r="B3" s="62"/>
      <c r="C3" s="62"/>
      <c r="D3" s="62"/>
      <c r="E3" s="121"/>
      <c r="F3" s="121"/>
      <c r="G3" s="121"/>
    </row>
    <row r="4" spans="1:7" s="122" customFormat="1" ht="15" x14ac:dyDescent="0.4">
      <c r="A4" s="62"/>
      <c r="B4" s="62"/>
      <c r="C4" s="62"/>
      <c r="D4" s="62"/>
      <c r="E4" s="121"/>
      <c r="F4" s="121"/>
      <c r="G4" s="121"/>
    </row>
    <row r="5" spans="1:7" x14ac:dyDescent="0.4">
      <c r="A5" s="124" t="s">
        <v>49</v>
      </c>
      <c r="B5" s="124"/>
      <c r="C5" s="125"/>
      <c r="D5" s="125"/>
      <c r="E5" s="125"/>
      <c r="F5" s="125"/>
      <c r="G5" s="125"/>
    </row>
    <row r="6" spans="1:7" x14ac:dyDescent="0.4">
      <c r="A6" s="126" t="s">
        <v>113</v>
      </c>
      <c r="B6" s="126"/>
      <c r="C6" s="127"/>
      <c r="D6" s="127"/>
      <c r="E6" s="127"/>
      <c r="F6" s="127"/>
      <c r="G6" s="127"/>
    </row>
    <row r="7" spans="1:7" x14ac:dyDescent="0.4">
      <c r="A7" s="74"/>
      <c r="B7" s="75"/>
      <c r="C7" s="75"/>
      <c r="D7" s="75"/>
      <c r="E7" s="75"/>
      <c r="F7" s="75"/>
      <c r="G7" s="75"/>
    </row>
    <row r="8" spans="1:7" x14ac:dyDescent="0.4">
      <c r="A8" s="71" t="s">
        <v>56</v>
      </c>
      <c r="E8" s="76" t="s">
        <v>35</v>
      </c>
      <c r="F8" s="76" t="s">
        <v>37</v>
      </c>
    </row>
    <row r="9" spans="1:7" ht="13.5" thickBot="1" x14ac:dyDescent="0.45">
      <c r="A9" s="79" t="s">
        <v>27</v>
      </c>
      <c r="B9" s="80" t="s">
        <v>25</v>
      </c>
      <c r="C9" s="80" t="s">
        <v>29</v>
      </c>
      <c r="D9" s="80" t="s">
        <v>36</v>
      </c>
      <c r="E9" s="80" t="s">
        <v>36</v>
      </c>
      <c r="F9" s="80" t="s">
        <v>36</v>
      </c>
      <c r="G9" s="80" t="s">
        <v>38</v>
      </c>
    </row>
    <row r="10" spans="1:7" x14ac:dyDescent="0.4">
      <c r="A10" s="71"/>
      <c r="B10" s="76"/>
      <c r="C10" s="76"/>
      <c r="D10" s="76"/>
      <c r="E10" s="76"/>
      <c r="F10" s="76"/>
      <c r="G10" s="76"/>
    </row>
    <row r="11" spans="1:7" x14ac:dyDescent="0.4">
      <c r="A11" s="85">
        <v>43814</v>
      </c>
      <c r="B11" s="40">
        <v>0</v>
      </c>
      <c r="C11" s="87">
        <v>0</v>
      </c>
      <c r="D11" s="40"/>
      <c r="E11" s="40">
        <v>0</v>
      </c>
      <c r="F11" s="40">
        <v>0</v>
      </c>
      <c r="G11" s="40">
        <f>SUM(B11,D11:F11)</f>
        <v>0</v>
      </c>
    </row>
    <row r="12" spans="1:7" x14ac:dyDescent="0.4">
      <c r="A12" s="85">
        <v>43997</v>
      </c>
      <c r="B12" s="40">
        <v>0</v>
      </c>
      <c r="C12" s="87">
        <v>0</v>
      </c>
      <c r="D12" s="40">
        <v>9710616.6699999999</v>
      </c>
      <c r="E12" s="40">
        <v>0</v>
      </c>
      <c r="F12" s="40">
        <v>-9710616.6699999999</v>
      </c>
      <c r="G12" s="40">
        <f>SUM(B12,D12:F12)</f>
        <v>0</v>
      </c>
    </row>
    <row r="13" spans="1:7" s="122" customFormat="1" ht="15" x14ac:dyDescent="0.4">
      <c r="A13" s="62"/>
      <c r="B13" s="62"/>
      <c r="C13" s="62"/>
      <c r="D13" s="62"/>
      <c r="E13" s="121"/>
      <c r="F13" s="121"/>
      <c r="G13" s="121"/>
    </row>
    <row r="14" spans="1:7" x14ac:dyDescent="0.4">
      <c r="A14" s="124" t="s">
        <v>49</v>
      </c>
      <c r="B14" s="124"/>
      <c r="C14" s="125"/>
      <c r="D14" s="125"/>
      <c r="E14" s="125"/>
      <c r="F14" s="125"/>
      <c r="G14" s="125"/>
    </row>
    <row r="15" spans="1:7" x14ac:dyDescent="0.4">
      <c r="A15" s="126" t="s">
        <v>82</v>
      </c>
      <c r="B15" s="126"/>
      <c r="C15" s="127"/>
      <c r="D15" s="127"/>
      <c r="E15" s="127"/>
      <c r="F15" s="127"/>
      <c r="G15" s="127"/>
    </row>
    <row r="16" spans="1:7" x14ac:dyDescent="0.4">
      <c r="A16" s="74"/>
      <c r="B16" s="75"/>
      <c r="C16" s="75"/>
      <c r="D16" s="75"/>
      <c r="E16" s="75"/>
      <c r="F16" s="75"/>
      <c r="G16" s="75"/>
    </row>
    <row r="17" spans="1:7" x14ac:dyDescent="0.4">
      <c r="A17" s="71" t="s">
        <v>56</v>
      </c>
      <c r="E17" s="76" t="s">
        <v>35</v>
      </c>
      <c r="F17" s="76" t="s">
        <v>37</v>
      </c>
    </row>
    <row r="18" spans="1:7" ht="13.5" thickBot="1" x14ac:dyDescent="0.45">
      <c r="A18" s="79" t="s">
        <v>27</v>
      </c>
      <c r="B18" s="80" t="s">
        <v>25</v>
      </c>
      <c r="C18" s="80" t="s">
        <v>29</v>
      </c>
      <c r="D18" s="80" t="s">
        <v>36</v>
      </c>
      <c r="E18" s="80" t="s">
        <v>36</v>
      </c>
      <c r="F18" s="80" t="s">
        <v>36</v>
      </c>
      <c r="G18" s="80" t="s">
        <v>38</v>
      </c>
    </row>
    <row r="19" spans="1:7" x14ac:dyDescent="0.4">
      <c r="A19" s="71"/>
      <c r="B19" s="76"/>
      <c r="C19" s="76"/>
      <c r="D19" s="76"/>
      <c r="E19" s="76"/>
      <c r="F19" s="76"/>
      <c r="G19" s="76"/>
    </row>
    <row r="20" spans="1:7" x14ac:dyDescent="0.4">
      <c r="A20" s="85">
        <v>43814</v>
      </c>
      <c r="B20" s="40">
        <v>0</v>
      </c>
      <c r="C20" s="87">
        <v>0</v>
      </c>
      <c r="D20" s="40">
        <v>0</v>
      </c>
      <c r="E20" s="40">
        <v>0</v>
      </c>
      <c r="F20" s="40">
        <v>0</v>
      </c>
      <c r="G20" s="40">
        <f>SUM(B20,D20:F20)</f>
        <v>0</v>
      </c>
    </row>
    <row r="21" spans="1:7" x14ac:dyDescent="0.4">
      <c r="A21" s="85">
        <v>43997</v>
      </c>
      <c r="B21" s="40">
        <v>0</v>
      </c>
      <c r="C21" s="87">
        <v>0</v>
      </c>
      <c r="D21" s="40">
        <v>531431.77083333326</v>
      </c>
      <c r="E21" s="40">
        <v>0</v>
      </c>
      <c r="F21" s="40">
        <v>0</v>
      </c>
      <c r="G21" s="40">
        <f>SUM(B21,D21:F21)</f>
        <v>531431.77083333326</v>
      </c>
    </row>
    <row r="23" spans="1:7" x14ac:dyDescent="0.4">
      <c r="A23" s="124" t="s">
        <v>49</v>
      </c>
      <c r="B23" s="124"/>
      <c r="C23" s="125"/>
      <c r="D23" s="125"/>
      <c r="E23" s="125"/>
      <c r="F23" s="125"/>
      <c r="G23" s="125"/>
    </row>
    <row r="24" spans="1:7" x14ac:dyDescent="0.4">
      <c r="A24" s="126" t="s">
        <v>83</v>
      </c>
      <c r="B24" s="126"/>
      <c r="C24" s="127"/>
      <c r="D24" s="127"/>
      <c r="E24" s="127"/>
      <c r="F24" s="127"/>
      <c r="G24" s="127"/>
    </row>
    <row r="25" spans="1:7" x14ac:dyDescent="0.4">
      <c r="A25" s="74"/>
      <c r="B25" s="75"/>
      <c r="C25" s="75"/>
      <c r="D25" s="75"/>
      <c r="E25" s="75"/>
      <c r="F25" s="75"/>
      <c r="G25" s="75"/>
    </row>
    <row r="26" spans="1:7" x14ac:dyDescent="0.4">
      <c r="A26" s="71" t="s">
        <v>56</v>
      </c>
      <c r="E26" s="76" t="s">
        <v>35</v>
      </c>
      <c r="F26" s="76" t="s">
        <v>37</v>
      </c>
    </row>
    <row r="27" spans="1:7" ht="13.5" thickBot="1" x14ac:dyDescent="0.45">
      <c r="A27" s="79" t="s">
        <v>27</v>
      </c>
      <c r="B27" s="80" t="s">
        <v>25</v>
      </c>
      <c r="C27" s="80" t="s">
        <v>29</v>
      </c>
      <c r="D27" s="80" t="s">
        <v>36</v>
      </c>
      <c r="E27" s="80" t="s">
        <v>36</v>
      </c>
      <c r="F27" s="80" t="s">
        <v>36</v>
      </c>
      <c r="G27" s="80" t="s">
        <v>38</v>
      </c>
    </row>
    <row r="28" spans="1:7" x14ac:dyDescent="0.4">
      <c r="A28" s="71"/>
      <c r="B28" s="76"/>
      <c r="C28" s="76"/>
      <c r="D28" s="76"/>
      <c r="E28" s="76"/>
      <c r="F28" s="76"/>
      <c r="G28" s="76"/>
    </row>
    <row r="29" spans="1:7" x14ac:dyDescent="0.4">
      <c r="A29" s="85">
        <v>43814</v>
      </c>
      <c r="B29" s="40">
        <v>0</v>
      </c>
      <c r="C29" s="87">
        <v>0</v>
      </c>
      <c r="D29" s="40">
        <v>4750125</v>
      </c>
      <c r="E29" s="40">
        <v>0</v>
      </c>
      <c r="F29" s="40">
        <v>0</v>
      </c>
      <c r="G29" s="40">
        <f>SUM(B29,D29:F29)</f>
        <v>4750125</v>
      </c>
    </row>
    <row r="30" spans="1:7" x14ac:dyDescent="0.4">
      <c r="A30" s="85">
        <v>43997</v>
      </c>
      <c r="B30" s="40">
        <v>0</v>
      </c>
      <c r="C30" s="87">
        <v>0</v>
      </c>
      <c r="D30" s="40">
        <v>4750125</v>
      </c>
      <c r="E30" s="40">
        <v>0</v>
      </c>
      <c r="F30" s="40">
        <v>0</v>
      </c>
      <c r="G30" s="40">
        <f>SUM(B30,D30:F30)</f>
        <v>4750125</v>
      </c>
    </row>
    <row r="32" spans="1:7" x14ac:dyDescent="0.4">
      <c r="A32" s="124" t="s">
        <v>49</v>
      </c>
      <c r="B32" s="124"/>
      <c r="C32" s="125"/>
      <c r="D32" s="125"/>
      <c r="E32" s="125"/>
      <c r="F32" s="125"/>
      <c r="G32" s="125"/>
    </row>
    <row r="33" spans="1:7" x14ac:dyDescent="0.4">
      <c r="A33" s="126" t="s">
        <v>84</v>
      </c>
      <c r="B33" s="126"/>
      <c r="C33" s="127"/>
      <c r="D33" s="127"/>
      <c r="E33" s="127"/>
      <c r="F33" s="127"/>
      <c r="G33" s="127"/>
    </row>
    <row r="34" spans="1:7" x14ac:dyDescent="0.4">
      <c r="A34" s="74"/>
      <c r="B34" s="75"/>
      <c r="C34" s="75"/>
      <c r="D34" s="75"/>
      <c r="E34" s="75"/>
      <c r="F34" s="75"/>
      <c r="G34" s="75"/>
    </row>
    <row r="35" spans="1:7" x14ac:dyDescent="0.4">
      <c r="A35" s="71" t="s">
        <v>56</v>
      </c>
      <c r="E35" s="76" t="s">
        <v>35</v>
      </c>
      <c r="F35" s="76" t="s">
        <v>37</v>
      </c>
    </row>
    <row r="36" spans="1:7" ht="13.5" thickBot="1" x14ac:dyDescent="0.45">
      <c r="A36" s="79" t="s">
        <v>27</v>
      </c>
      <c r="B36" s="80" t="s">
        <v>25</v>
      </c>
      <c r="C36" s="80" t="s">
        <v>29</v>
      </c>
      <c r="D36" s="80" t="s">
        <v>36</v>
      </c>
      <c r="E36" s="80" t="s">
        <v>36</v>
      </c>
      <c r="F36" s="80" t="s">
        <v>36</v>
      </c>
      <c r="G36" s="80" t="s">
        <v>38</v>
      </c>
    </row>
    <row r="37" spans="1:7" x14ac:dyDescent="0.4">
      <c r="A37" s="71"/>
      <c r="B37" s="76"/>
      <c r="C37" s="76"/>
      <c r="D37" s="76"/>
      <c r="E37" s="76"/>
      <c r="F37" s="76"/>
      <c r="G37" s="76"/>
    </row>
    <row r="38" spans="1:7" x14ac:dyDescent="0.4">
      <c r="A38" s="85">
        <v>43814</v>
      </c>
      <c r="B38" s="40">
        <v>0</v>
      </c>
      <c r="C38" s="87">
        <v>0</v>
      </c>
      <c r="D38" s="40">
        <v>1460250</v>
      </c>
      <c r="E38" s="40">
        <v>0</v>
      </c>
      <c r="F38" s="40">
        <v>0</v>
      </c>
      <c r="G38" s="40">
        <f>SUM(B38,D38:F38)</f>
        <v>1460250</v>
      </c>
    </row>
    <row r="39" spans="1:7" x14ac:dyDescent="0.4">
      <c r="A39" s="85">
        <v>43997</v>
      </c>
      <c r="B39" s="40">
        <v>0</v>
      </c>
      <c r="C39" s="87">
        <v>0</v>
      </c>
      <c r="D39" s="40">
        <v>1460250</v>
      </c>
      <c r="E39" s="40">
        <v>0</v>
      </c>
      <c r="F39" s="40">
        <v>0</v>
      </c>
      <c r="G39" s="40">
        <f>SUM(B39,D39:F39)</f>
        <v>1460250</v>
      </c>
    </row>
    <row r="40" spans="1:7" x14ac:dyDescent="0.4">
      <c r="A40" s="64"/>
    </row>
    <row r="41" spans="1:7" x14ac:dyDescent="0.4">
      <c r="A41" s="124" t="s">
        <v>49</v>
      </c>
      <c r="B41" s="124"/>
      <c r="C41" s="125"/>
      <c r="D41" s="125"/>
      <c r="E41" s="125"/>
      <c r="F41" s="125"/>
      <c r="G41" s="125"/>
    </row>
    <row r="42" spans="1:7" x14ac:dyDescent="0.4">
      <c r="A42" s="126" t="s">
        <v>85</v>
      </c>
      <c r="B42" s="126"/>
      <c r="C42" s="127"/>
      <c r="D42" s="127"/>
      <c r="E42" s="127"/>
      <c r="F42" s="127"/>
      <c r="G42" s="127"/>
    </row>
    <row r="43" spans="1:7" x14ac:dyDescent="0.4">
      <c r="A43" s="74"/>
      <c r="B43" s="75"/>
      <c r="C43" s="75"/>
      <c r="D43" s="75"/>
      <c r="E43" s="75"/>
      <c r="F43" s="75"/>
      <c r="G43" s="75"/>
    </row>
    <row r="44" spans="1:7" x14ac:dyDescent="0.4">
      <c r="A44" s="71" t="s">
        <v>56</v>
      </c>
      <c r="E44" s="76" t="s">
        <v>35</v>
      </c>
      <c r="F44" s="76" t="s">
        <v>37</v>
      </c>
    </row>
    <row r="45" spans="1:7" ht="13.5" thickBot="1" x14ac:dyDescent="0.45">
      <c r="A45" s="79" t="s">
        <v>27</v>
      </c>
      <c r="B45" s="80" t="s">
        <v>25</v>
      </c>
      <c r="C45" s="80" t="s">
        <v>29</v>
      </c>
      <c r="D45" s="80" t="s">
        <v>36</v>
      </c>
      <c r="E45" s="80" t="s">
        <v>36</v>
      </c>
      <c r="F45" s="80" t="s">
        <v>36</v>
      </c>
      <c r="G45" s="80" t="s">
        <v>38</v>
      </c>
    </row>
    <row r="46" spans="1:7" x14ac:dyDescent="0.4">
      <c r="A46" s="71"/>
      <c r="B46" s="76"/>
      <c r="C46" s="76"/>
      <c r="D46" s="76"/>
      <c r="E46" s="76"/>
      <c r="F46" s="76"/>
      <c r="G46" s="76"/>
    </row>
    <row r="47" spans="1:7" x14ac:dyDescent="0.4">
      <c r="A47" s="85">
        <v>43814</v>
      </c>
      <c r="B47" s="40">
        <v>0</v>
      </c>
      <c r="C47" s="87">
        <v>0</v>
      </c>
      <c r="D47" s="40">
        <v>3425625</v>
      </c>
      <c r="E47" s="40">
        <v>0</v>
      </c>
      <c r="F47" s="40">
        <v>0</v>
      </c>
      <c r="G47" s="40">
        <f>SUM(B47,D47:F47)</f>
        <v>3425625</v>
      </c>
    </row>
    <row r="48" spans="1:7" x14ac:dyDescent="0.4">
      <c r="A48" s="85">
        <v>43997</v>
      </c>
      <c r="B48" s="40">
        <v>0</v>
      </c>
      <c r="C48" s="87">
        <v>0</v>
      </c>
      <c r="D48" s="40">
        <v>3425625</v>
      </c>
      <c r="E48" s="40">
        <v>0</v>
      </c>
      <c r="F48" s="40">
        <v>0</v>
      </c>
      <c r="G48" s="40">
        <f>SUM(B48,D48:F48)</f>
        <v>3425625</v>
      </c>
    </row>
    <row r="50" spans="1:7" x14ac:dyDescent="0.4">
      <c r="A50" s="124" t="s">
        <v>49</v>
      </c>
      <c r="B50" s="124"/>
      <c r="C50" s="125"/>
      <c r="D50" s="125"/>
      <c r="E50" s="125"/>
      <c r="F50" s="125"/>
      <c r="G50" s="125"/>
    </row>
    <row r="51" spans="1:7" x14ac:dyDescent="0.4">
      <c r="A51" s="126" t="s">
        <v>86</v>
      </c>
      <c r="B51" s="126"/>
      <c r="C51" s="127"/>
      <c r="D51" s="127"/>
      <c r="E51" s="127"/>
      <c r="F51" s="127"/>
      <c r="G51" s="127"/>
    </row>
    <row r="52" spans="1:7" x14ac:dyDescent="0.4">
      <c r="A52" s="74"/>
      <c r="B52" s="75"/>
      <c r="C52" s="75"/>
      <c r="D52" s="75"/>
      <c r="E52" s="75"/>
      <c r="F52" s="75"/>
      <c r="G52" s="75"/>
    </row>
    <row r="53" spans="1:7" x14ac:dyDescent="0.4">
      <c r="A53" s="71" t="s">
        <v>56</v>
      </c>
      <c r="E53" s="76" t="s">
        <v>35</v>
      </c>
      <c r="F53" s="76" t="s">
        <v>37</v>
      </c>
    </row>
    <row r="54" spans="1:7" ht="13.5" thickBot="1" x14ac:dyDescent="0.45">
      <c r="A54" s="79" t="s">
        <v>27</v>
      </c>
      <c r="B54" s="80" t="s">
        <v>25</v>
      </c>
      <c r="C54" s="80" t="s">
        <v>29</v>
      </c>
      <c r="D54" s="80" t="s">
        <v>36</v>
      </c>
      <c r="E54" s="80" t="s">
        <v>36</v>
      </c>
      <c r="F54" s="80" t="s">
        <v>36</v>
      </c>
      <c r="G54" s="80" t="s">
        <v>38</v>
      </c>
    </row>
    <row r="55" spans="1:7" x14ac:dyDescent="0.4">
      <c r="A55" s="71"/>
      <c r="B55" s="76"/>
      <c r="C55" s="76"/>
      <c r="D55" s="76"/>
      <c r="E55" s="76"/>
      <c r="F55" s="76"/>
      <c r="G55" s="76"/>
    </row>
    <row r="56" spans="1:7" x14ac:dyDescent="0.4">
      <c r="A56" s="85">
        <v>43814</v>
      </c>
      <c r="B56" s="40">
        <v>0</v>
      </c>
      <c r="C56" s="87">
        <v>0</v>
      </c>
      <c r="D56" s="40">
        <v>1655375</v>
      </c>
      <c r="E56" s="40">
        <v>0</v>
      </c>
      <c r="F56" s="40">
        <v>0</v>
      </c>
      <c r="G56" s="40">
        <f>SUM(B56,D56:F56)</f>
        <v>1655375</v>
      </c>
    </row>
    <row r="57" spans="1:7" x14ac:dyDescent="0.4">
      <c r="A57" s="85">
        <v>43997</v>
      </c>
      <c r="B57" s="40">
        <v>0</v>
      </c>
      <c r="C57" s="87">
        <v>0</v>
      </c>
      <c r="D57" s="40">
        <v>1655375</v>
      </c>
      <c r="E57" s="40">
        <v>0</v>
      </c>
      <c r="F57" s="40">
        <v>0</v>
      </c>
      <c r="G57" s="40">
        <f>SUM(B57,D57:F57)</f>
        <v>1655375</v>
      </c>
    </row>
    <row r="59" spans="1:7" x14ac:dyDescent="0.4">
      <c r="A59" s="124" t="s">
        <v>49</v>
      </c>
      <c r="B59" s="124"/>
      <c r="C59" s="125"/>
      <c r="D59" s="125"/>
      <c r="E59" s="125"/>
      <c r="F59" s="125"/>
      <c r="G59" s="125"/>
    </row>
    <row r="60" spans="1:7" x14ac:dyDescent="0.4">
      <c r="A60" s="126" t="s">
        <v>87</v>
      </c>
      <c r="B60" s="126"/>
      <c r="C60" s="127"/>
      <c r="D60" s="127"/>
      <c r="E60" s="127"/>
      <c r="F60" s="127"/>
      <c r="G60" s="127"/>
    </row>
    <row r="61" spans="1:7" x14ac:dyDescent="0.4">
      <c r="A61" s="74"/>
      <c r="B61" s="75"/>
      <c r="C61" s="75"/>
      <c r="D61" s="75"/>
      <c r="E61" s="75"/>
      <c r="F61" s="75"/>
      <c r="G61" s="75"/>
    </row>
    <row r="62" spans="1:7" x14ac:dyDescent="0.4">
      <c r="A62" s="71" t="s">
        <v>56</v>
      </c>
      <c r="E62" s="76" t="s">
        <v>35</v>
      </c>
      <c r="F62" s="76" t="s">
        <v>37</v>
      </c>
    </row>
    <row r="63" spans="1:7" ht="13.5" thickBot="1" x14ac:dyDescent="0.45">
      <c r="A63" s="79" t="s">
        <v>27</v>
      </c>
      <c r="B63" s="80" t="s">
        <v>25</v>
      </c>
      <c r="C63" s="80" t="s">
        <v>29</v>
      </c>
      <c r="D63" s="80" t="s">
        <v>36</v>
      </c>
      <c r="E63" s="80" t="s">
        <v>36</v>
      </c>
      <c r="F63" s="80" t="s">
        <v>36</v>
      </c>
      <c r="G63" s="80" t="s">
        <v>38</v>
      </c>
    </row>
    <row r="64" spans="1:7" x14ac:dyDescent="0.4">
      <c r="A64" s="71"/>
      <c r="B64" s="76"/>
      <c r="C64" s="76"/>
      <c r="D64" s="76"/>
      <c r="E64" s="76"/>
      <c r="F64" s="76"/>
      <c r="G64" s="76"/>
    </row>
    <row r="65" spans="1:7" x14ac:dyDescent="0.4">
      <c r="A65" s="85">
        <v>43814</v>
      </c>
      <c r="B65" s="40">
        <v>0</v>
      </c>
      <c r="C65" s="87">
        <v>0</v>
      </c>
      <c r="D65" s="40">
        <v>2426875</v>
      </c>
      <c r="E65" s="40">
        <v>0</v>
      </c>
      <c r="F65" s="40">
        <v>0</v>
      </c>
      <c r="G65" s="40">
        <f>SUM(B65,D65:F65)</f>
        <v>2426875</v>
      </c>
    </row>
    <row r="66" spans="1:7" x14ac:dyDescent="0.4">
      <c r="A66" s="85">
        <v>43997</v>
      </c>
      <c r="B66" s="40">
        <v>0</v>
      </c>
      <c r="C66" s="87">
        <v>0</v>
      </c>
      <c r="D66" s="40">
        <v>2426875</v>
      </c>
      <c r="E66" s="40">
        <v>0</v>
      </c>
      <c r="F66" s="40">
        <v>0</v>
      </c>
      <c r="G66" s="40">
        <f>SUM(B66,D66:F66)</f>
        <v>2426875</v>
      </c>
    </row>
    <row r="68" spans="1:7" x14ac:dyDescent="0.4">
      <c r="A68" s="124" t="s">
        <v>49</v>
      </c>
      <c r="B68" s="124"/>
      <c r="C68" s="125"/>
      <c r="D68" s="125"/>
      <c r="E68" s="125"/>
      <c r="F68" s="125"/>
      <c r="G68" s="125"/>
    </row>
    <row r="69" spans="1:7" x14ac:dyDescent="0.4">
      <c r="A69" s="126" t="s">
        <v>88</v>
      </c>
      <c r="B69" s="126"/>
      <c r="C69" s="127"/>
      <c r="D69" s="127"/>
      <c r="E69" s="127"/>
      <c r="F69" s="127"/>
      <c r="G69" s="127"/>
    </row>
    <row r="70" spans="1:7" x14ac:dyDescent="0.4">
      <c r="A70" s="74"/>
      <c r="B70" s="75"/>
      <c r="C70" s="75"/>
      <c r="D70" s="75"/>
      <c r="E70" s="75"/>
      <c r="F70" s="75"/>
      <c r="G70" s="75"/>
    </row>
    <row r="71" spans="1:7" x14ac:dyDescent="0.4">
      <c r="A71" s="71" t="s">
        <v>56</v>
      </c>
      <c r="E71" s="76" t="s">
        <v>35</v>
      </c>
      <c r="F71" s="76" t="s">
        <v>37</v>
      </c>
    </row>
    <row r="72" spans="1:7" ht="13.5" thickBot="1" x14ac:dyDescent="0.45">
      <c r="A72" s="79" t="s">
        <v>27</v>
      </c>
      <c r="B72" s="80" t="s">
        <v>25</v>
      </c>
      <c r="C72" s="80" t="s">
        <v>29</v>
      </c>
      <c r="D72" s="80" t="s">
        <v>36</v>
      </c>
      <c r="E72" s="80" t="s">
        <v>36</v>
      </c>
      <c r="F72" s="80" t="s">
        <v>36</v>
      </c>
      <c r="G72" s="80" t="s">
        <v>38</v>
      </c>
    </row>
    <row r="73" spans="1:7" x14ac:dyDescent="0.4">
      <c r="A73" s="71"/>
      <c r="B73" s="76"/>
      <c r="C73" s="76"/>
      <c r="D73" s="76"/>
      <c r="E73" s="76"/>
      <c r="F73" s="76"/>
      <c r="G73" s="76"/>
    </row>
    <row r="74" spans="1:7" x14ac:dyDescent="0.4">
      <c r="A74" s="85">
        <v>43814</v>
      </c>
      <c r="B74" s="40">
        <v>340000</v>
      </c>
      <c r="C74" s="87">
        <v>0.03</v>
      </c>
      <c r="D74" s="40">
        <v>15526537.5</v>
      </c>
      <c r="E74" s="40">
        <v>0</v>
      </c>
      <c r="F74" s="40">
        <v>0</v>
      </c>
      <c r="G74" s="40">
        <f>SUM(B74,D74:F74)</f>
        <v>15866537.5</v>
      </c>
    </row>
    <row r="75" spans="1:7" x14ac:dyDescent="0.4">
      <c r="A75" s="85">
        <v>43997</v>
      </c>
      <c r="B75" s="40">
        <v>0</v>
      </c>
      <c r="C75" s="87">
        <v>0</v>
      </c>
      <c r="D75" s="40">
        <v>15521437.5</v>
      </c>
      <c r="E75" s="40">
        <v>0</v>
      </c>
      <c r="F75" s="40">
        <v>0</v>
      </c>
      <c r="G75" s="40">
        <f>SUM(B75,D75:F75)</f>
        <v>15521437.5</v>
      </c>
    </row>
    <row r="77" spans="1:7" x14ac:dyDescent="0.4">
      <c r="A77" s="124" t="s">
        <v>49</v>
      </c>
      <c r="B77" s="124"/>
      <c r="C77" s="125"/>
      <c r="D77" s="125"/>
      <c r="E77" s="125"/>
      <c r="F77" s="125"/>
      <c r="G77" s="125"/>
    </row>
    <row r="78" spans="1:7" x14ac:dyDescent="0.4">
      <c r="A78" s="126" t="s">
        <v>89</v>
      </c>
      <c r="B78" s="126"/>
      <c r="C78" s="127"/>
      <c r="D78" s="127"/>
      <c r="E78" s="127"/>
      <c r="F78" s="127"/>
      <c r="G78" s="127"/>
    </row>
    <row r="79" spans="1:7" x14ac:dyDescent="0.4">
      <c r="A79" s="74"/>
      <c r="B79" s="75"/>
      <c r="C79" s="75"/>
      <c r="D79" s="75"/>
      <c r="E79" s="75"/>
      <c r="F79" s="75"/>
      <c r="G79" s="75"/>
    </row>
    <row r="80" spans="1:7" x14ac:dyDescent="0.4">
      <c r="A80" s="71" t="s">
        <v>56</v>
      </c>
      <c r="E80" s="76" t="s">
        <v>35</v>
      </c>
      <c r="F80" s="76" t="s">
        <v>37</v>
      </c>
    </row>
    <row r="81" spans="1:7" ht="13.5" thickBot="1" x14ac:dyDescent="0.45">
      <c r="A81" s="79" t="s">
        <v>27</v>
      </c>
      <c r="B81" s="80" t="s">
        <v>25</v>
      </c>
      <c r="C81" s="80" t="s">
        <v>29</v>
      </c>
      <c r="D81" s="80" t="s">
        <v>36</v>
      </c>
      <c r="E81" s="80" t="s">
        <v>36</v>
      </c>
      <c r="F81" s="80" t="s">
        <v>36</v>
      </c>
      <c r="G81" s="80" t="s">
        <v>38</v>
      </c>
    </row>
    <row r="82" spans="1:7" x14ac:dyDescent="0.4">
      <c r="A82" s="71"/>
      <c r="B82" s="76"/>
      <c r="C82" s="76"/>
      <c r="D82" s="76"/>
      <c r="E82" s="76"/>
      <c r="F82" s="76"/>
      <c r="G82" s="76"/>
    </row>
    <row r="83" spans="1:7" x14ac:dyDescent="0.4">
      <c r="A83" s="85">
        <v>43814</v>
      </c>
      <c r="B83" s="40">
        <v>0</v>
      </c>
      <c r="C83" s="87">
        <v>0</v>
      </c>
      <c r="D83" s="40">
        <v>0</v>
      </c>
      <c r="E83" s="40">
        <v>0</v>
      </c>
      <c r="F83" s="40">
        <v>0</v>
      </c>
      <c r="G83" s="40">
        <f>SUM(B83,D83:F83)</f>
        <v>0</v>
      </c>
    </row>
    <row r="84" spans="1:7" x14ac:dyDescent="0.4">
      <c r="A84" s="85">
        <v>43997</v>
      </c>
      <c r="B84" s="40">
        <v>0</v>
      </c>
      <c r="C84" s="87">
        <v>0</v>
      </c>
      <c r="D84" s="40">
        <v>0</v>
      </c>
      <c r="E84" s="40">
        <v>0</v>
      </c>
      <c r="F84" s="40">
        <v>0</v>
      </c>
      <c r="G84" s="40">
        <f>SUM(B84,D84:F84)</f>
        <v>0</v>
      </c>
    </row>
    <row r="86" spans="1:7" x14ac:dyDescent="0.4">
      <c r="A86" s="124" t="s">
        <v>49</v>
      </c>
      <c r="B86" s="124"/>
      <c r="C86" s="125"/>
      <c r="D86" s="125"/>
      <c r="E86" s="125"/>
      <c r="F86" s="125"/>
      <c r="G86" s="125"/>
    </row>
    <row r="87" spans="1:7" x14ac:dyDescent="0.4">
      <c r="A87" s="126" t="s">
        <v>90</v>
      </c>
      <c r="B87" s="126"/>
      <c r="C87" s="127"/>
      <c r="D87" s="127"/>
      <c r="E87" s="127"/>
      <c r="F87" s="127"/>
      <c r="G87" s="127"/>
    </row>
    <row r="88" spans="1:7" x14ac:dyDescent="0.4">
      <c r="A88" s="74"/>
      <c r="B88" s="75"/>
      <c r="C88" s="75"/>
      <c r="D88" s="75"/>
      <c r="E88" s="75"/>
      <c r="F88" s="75"/>
      <c r="G88" s="75"/>
    </row>
    <row r="89" spans="1:7" x14ac:dyDescent="0.4">
      <c r="A89" s="71" t="s">
        <v>56</v>
      </c>
      <c r="E89" s="76" t="s">
        <v>35</v>
      </c>
      <c r="F89" s="76" t="s">
        <v>37</v>
      </c>
    </row>
    <row r="90" spans="1:7" ht="13.5" thickBot="1" x14ac:dyDescent="0.45">
      <c r="A90" s="79" t="s">
        <v>27</v>
      </c>
      <c r="B90" s="80" t="s">
        <v>25</v>
      </c>
      <c r="C90" s="80" t="s">
        <v>29</v>
      </c>
      <c r="D90" s="80" t="s">
        <v>36</v>
      </c>
      <c r="E90" s="80" t="s">
        <v>36</v>
      </c>
      <c r="F90" s="80" t="s">
        <v>36</v>
      </c>
      <c r="G90" s="80" t="s">
        <v>38</v>
      </c>
    </row>
    <row r="91" spans="1:7" x14ac:dyDescent="0.4">
      <c r="A91" s="71"/>
      <c r="B91" s="76"/>
      <c r="C91" s="76"/>
      <c r="D91" s="76"/>
      <c r="E91" s="76"/>
      <c r="F91" s="76"/>
      <c r="G91" s="76"/>
    </row>
    <row r="92" spans="1:7" x14ac:dyDescent="0.4">
      <c r="A92" s="85">
        <v>43814</v>
      </c>
      <c r="B92" s="40">
        <v>0</v>
      </c>
      <c r="C92" s="87">
        <v>0</v>
      </c>
      <c r="D92" s="40">
        <v>4176700</v>
      </c>
      <c r="E92" s="40">
        <v>0</v>
      </c>
      <c r="F92" s="40">
        <v>0</v>
      </c>
      <c r="G92" s="40">
        <f>SUM(B92,D92:F92)</f>
        <v>4176700</v>
      </c>
    </row>
    <row r="93" spans="1:7" x14ac:dyDescent="0.4">
      <c r="A93" s="85">
        <v>43997</v>
      </c>
      <c r="B93" s="40">
        <v>0</v>
      </c>
      <c r="C93" s="87">
        <v>0</v>
      </c>
      <c r="D93" s="40">
        <v>4176700</v>
      </c>
      <c r="E93" s="40">
        <v>0</v>
      </c>
      <c r="F93" s="40">
        <v>0</v>
      </c>
      <c r="G93" s="40">
        <f>SUM(B93,D93:F93)</f>
        <v>4176700</v>
      </c>
    </row>
    <row r="95" spans="1:7" x14ac:dyDescent="0.4">
      <c r="A95" s="124" t="s">
        <v>49</v>
      </c>
      <c r="B95" s="124"/>
      <c r="C95" s="125"/>
      <c r="D95" s="125"/>
      <c r="E95" s="125"/>
      <c r="F95" s="125"/>
      <c r="G95" s="125"/>
    </row>
    <row r="96" spans="1:7" x14ac:dyDescent="0.4">
      <c r="A96" s="126" t="s">
        <v>91</v>
      </c>
      <c r="B96" s="126"/>
      <c r="C96" s="127"/>
      <c r="D96" s="127"/>
      <c r="E96" s="127"/>
      <c r="F96" s="127"/>
      <c r="G96" s="127"/>
    </row>
    <row r="97" spans="1:7" x14ac:dyDescent="0.4">
      <c r="A97" s="74"/>
      <c r="B97" s="75"/>
      <c r="C97" s="75"/>
      <c r="D97" s="75"/>
      <c r="E97" s="75"/>
      <c r="F97" s="75"/>
      <c r="G97" s="75"/>
    </row>
    <row r="98" spans="1:7" x14ac:dyDescent="0.4">
      <c r="A98" s="71" t="s">
        <v>56</v>
      </c>
      <c r="E98" s="76" t="s">
        <v>35</v>
      </c>
      <c r="F98" s="76" t="s">
        <v>37</v>
      </c>
    </row>
    <row r="99" spans="1:7" ht="13.5" thickBot="1" x14ac:dyDescent="0.45">
      <c r="A99" s="79" t="s">
        <v>27</v>
      </c>
      <c r="B99" s="80" t="s">
        <v>25</v>
      </c>
      <c r="C99" s="80" t="s">
        <v>29</v>
      </c>
      <c r="D99" s="80" t="s">
        <v>36</v>
      </c>
      <c r="E99" s="80" t="s">
        <v>36</v>
      </c>
      <c r="F99" s="80" t="s">
        <v>36</v>
      </c>
      <c r="G99" s="80" t="s">
        <v>38</v>
      </c>
    </row>
    <row r="100" spans="1:7" x14ac:dyDescent="0.4">
      <c r="A100" s="71"/>
      <c r="B100" s="76"/>
      <c r="C100" s="76"/>
      <c r="D100" s="76"/>
      <c r="E100" s="76"/>
      <c r="F100" s="76"/>
      <c r="G100" s="76"/>
    </row>
    <row r="101" spans="1:7" x14ac:dyDescent="0.4">
      <c r="A101" s="85">
        <v>43814</v>
      </c>
      <c r="B101" s="40">
        <v>0</v>
      </c>
      <c r="C101" s="87">
        <v>0</v>
      </c>
      <c r="D101" s="40">
        <v>18269725</v>
      </c>
      <c r="E101" s="40">
        <v>0</v>
      </c>
      <c r="F101" s="40">
        <v>0</v>
      </c>
      <c r="G101" s="40">
        <f>SUM(B101,D101:F101)</f>
        <v>18269725</v>
      </c>
    </row>
    <row r="102" spans="1:7" x14ac:dyDescent="0.4">
      <c r="A102" s="85">
        <v>43997</v>
      </c>
      <c r="B102" s="40">
        <v>0</v>
      </c>
      <c r="C102" s="87">
        <v>0</v>
      </c>
      <c r="D102" s="40">
        <v>18269725</v>
      </c>
      <c r="E102" s="40">
        <v>0</v>
      </c>
      <c r="F102" s="40">
        <v>0</v>
      </c>
      <c r="G102" s="40">
        <f>SUM(B102,D102:F102)</f>
        <v>18269725</v>
      </c>
    </row>
    <row r="104" spans="1:7" x14ac:dyDescent="0.4">
      <c r="A104" s="124" t="s">
        <v>49</v>
      </c>
      <c r="B104" s="124"/>
      <c r="C104" s="125"/>
      <c r="D104" s="125"/>
      <c r="E104" s="125"/>
      <c r="F104" s="125"/>
      <c r="G104" s="125"/>
    </row>
    <row r="105" spans="1:7" x14ac:dyDescent="0.4">
      <c r="A105" s="126" t="s">
        <v>92</v>
      </c>
      <c r="B105" s="126"/>
      <c r="C105" s="127"/>
      <c r="D105" s="127"/>
      <c r="E105" s="127"/>
      <c r="F105" s="127"/>
      <c r="G105" s="127"/>
    </row>
    <row r="106" spans="1:7" x14ac:dyDescent="0.4">
      <c r="A106" s="74"/>
      <c r="B106" s="75"/>
      <c r="C106" s="75"/>
      <c r="D106" s="75"/>
      <c r="E106" s="75"/>
      <c r="F106" s="75"/>
      <c r="G106" s="75"/>
    </row>
    <row r="107" spans="1:7" x14ac:dyDescent="0.4">
      <c r="A107" s="71" t="s">
        <v>56</v>
      </c>
      <c r="E107" s="76" t="s">
        <v>35</v>
      </c>
      <c r="F107" s="76" t="s">
        <v>37</v>
      </c>
    </row>
    <row r="108" spans="1:7" ht="13.5" thickBot="1" x14ac:dyDescent="0.45">
      <c r="A108" s="79" t="s">
        <v>27</v>
      </c>
      <c r="B108" s="80" t="s">
        <v>25</v>
      </c>
      <c r="C108" s="80" t="s">
        <v>29</v>
      </c>
      <c r="D108" s="80" t="s">
        <v>36</v>
      </c>
      <c r="E108" s="80" t="s">
        <v>36</v>
      </c>
      <c r="F108" s="80" t="s">
        <v>36</v>
      </c>
      <c r="G108" s="80" t="s">
        <v>38</v>
      </c>
    </row>
    <row r="109" spans="1:7" x14ac:dyDescent="0.4">
      <c r="A109" s="71"/>
      <c r="B109" s="76"/>
      <c r="C109" s="76"/>
      <c r="D109" s="76"/>
      <c r="E109" s="76"/>
      <c r="F109" s="76"/>
      <c r="G109" s="76"/>
    </row>
    <row r="110" spans="1:7" x14ac:dyDescent="0.4">
      <c r="A110" s="85">
        <v>43814</v>
      </c>
      <c r="B110" s="40">
        <v>0</v>
      </c>
      <c r="C110" s="87">
        <v>0</v>
      </c>
      <c r="D110" s="40">
        <v>2537162.5</v>
      </c>
      <c r="E110" s="40">
        <v>0</v>
      </c>
      <c r="F110" s="40">
        <v>0</v>
      </c>
      <c r="G110" s="40">
        <f>SUM(B110,D110:F110)</f>
        <v>2537162.5</v>
      </c>
    </row>
    <row r="111" spans="1:7" x14ac:dyDescent="0.4">
      <c r="A111" s="85">
        <v>43997</v>
      </c>
      <c r="B111" s="40">
        <v>0</v>
      </c>
      <c r="C111" s="87">
        <v>0</v>
      </c>
      <c r="D111" s="40">
        <v>2537162.5</v>
      </c>
      <c r="E111" s="40">
        <v>0</v>
      </c>
      <c r="F111" s="40">
        <v>0</v>
      </c>
      <c r="G111" s="40">
        <f>SUM(B111,D111:F111)</f>
        <v>2537162.5</v>
      </c>
    </row>
    <row r="113" spans="1:7" x14ac:dyDescent="0.4">
      <c r="A113" s="124" t="s">
        <v>49</v>
      </c>
      <c r="B113" s="124"/>
      <c r="C113" s="125"/>
      <c r="D113" s="125"/>
      <c r="E113" s="125"/>
      <c r="F113" s="125"/>
      <c r="G113" s="125"/>
    </row>
    <row r="114" spans="1:7" x14ac:dyDescent="0.4">
      <c r="A114" s="126" t="s">
        <v>93</v>
      </c>
      <c r="B114" s="126"/>
      <c r="C114" s="127"/>
      <c r="D114" s="127"/>
      <c r="E114" s="127"/>
      <c r="F114" s="127"/>
      <c r="G114" s="127"/>
    </row>
    <row r="115" spans="1:7" x14ac:dyDescent="0.4">
      <c r="A115" s="74"/>
      <c r="B115" s="75"/>
      <c r="C115" s="75"/>
      <c r="D115" s="75"/>
      <c r="E115" s="75"/>
      <c r="F115" s="75"/>
      <c r="G115" s="75"/>
    </row>
    <row r="116" spans="1:7" x14ac:dyDescent="0.4">
      <c r="A116" s="71" t="s">
        <v>56</v>
      </c>
      <c r="E116" s="76" t="s">
        <v>35</v>
      </c>
      <c r="F116" s="76" t="s">
        <v>37</v>
      </c>
    </row>
    <row r="117" spans="1:7" ht="13.5" thickBot="1" x14ac:dyDescent="0.45">
      <c r="A117" s="79" t="s">
        <v>27</v>
      </c>
      <c r="B117" s="80" t="s">
        <v>25</v>
      </c>
      <c r="C117" s="80" t="s">
        <v>29</v>
      </c>
      <c r="D117" s="80" t="s">
        <v>36</v>
      </c>
      <c r="E117" s="80" t="s">
        <v>36</v>
      </c>
      <c r="F117" s="80" t="s">
        <v>36</v>
      </c>
      <c r="G117" s="80" t="s">
        <v>38</v>
      </c>
    </row>
    <row r="118" spans="1:7" x14ac:dyDescent="0.4">
      <c r="A118" s="71"/>
      <c r="B118" s="76"/>
      <c r="C118" s="76"/>
      <c r="D118" s="76"/>
      <c r="E118" s="76"/>
      <c r="F118" s="76"/>
      <c r="G118" s="76"/>
    </row>
    <row r="119" spans="1:7" x14ac:dyDescent="0.4">
      <c r="A119" s="85">
        <v>43814</v>
      </c>
      <c r="B119" s="40">
        <v>0</v>
      </c>
      <c r="C119" s="87">
        <v>0</v>
      </c>
      <c r="D119" s="40">
        <v>2055888.75</v>
      </c>
      <c r="E119" s="40">
        <v>0</v>
      </c>
      <c r="F119" s="40">
        <v>0</v>
      </c>
      <c r="G119" s="40">
        <f>SUM(B119,D119:F119)</f>
        <v>2055888.75</v>
      </c>
    </row>
    <row r="120" spans="1:7" x14ac:dyDescent="0.4">
      <c r="A120" s="85">
        <v>43997</v>
      </c>
      <c r="B120" s="40">
        <v>0</v>
      </c>
      <c r="C120" s="87">
        <v>0</v>
      </c>
      <c r="D120" s="40">
        <v>2055888.75</v>
      </c>
      <c r="E120" s="40">
        <v>0</v>
      </c>
      <c r="F120" s="40">
        <v>0</v>
      </c>
      <c r="G120" s="40">
        <f>SUM(B120,D120:F120)</f>
        <v>2055888.75</v>
      </c>
    </row>
    <row r="122" spans="1:7" hidden="1" x14ac:dyDescent="0.4">
      <c r="A122" s="124" t="s">
        <v>49</v>
      </c>
      <c r="B122" s="124"/>
      <c r="C122" s="125"/>
      <c r="D122" s="125"/>
      <c r="E122" s="125"/>
      <c r="F122" s="125"/>
      <c r="G122" s="125"/>
    </row>
    <row r="123" spans="1:7" hidden="1" x14ac:dyDescent="0.4">
      <c r="A123" s="126" t="s">
        <v>94</v>
      </c>
      <c r="B123" s="126"/>
      <c r="C123" s="127"/>
      <c r="D123" s="127"/>
      <c r="E123" s="127"/>
      <c r="F123" s="127"/>
      <c r="G123" s="127"/>
    </row>
    <row r="124" spans="1:7" hidden="1" x14ac:dyDescent="0.4">
      <c r="A124" s="74"/>
      <c r="B124" s="75"/>
      <c r="C124" s="75"/>
      <c r="D124" s="75"/>
      <c r="E124" s="75"/>
      <c r="F124" s="75"/>
      <c r="G124" s="75"/>
    </row>
    <row r="125" spans="1:7" hidden="1" x14ac:dyDescent="0.4">
      <c r="A125" s="71" t="s">
        <v>56</v>
      </c>
      <c r="E125" s="76" t="s">
        <v>35</v>
      </c>
      <c r="F125" s="76" t="s">
        <v>37</v>
      </c>
    </row>
    <row r="126" spans="1:7" ht="13.5" hidden="1" thickBot="1" x14ac:dyDescent="0.45">
      <c r="A126" s="79" t="s">
        <v>27</v>
      </c>
      <c r="B126" s="80" t="s">
        <v>25</v>
      </c>
      <c r="C126" s="80" t="s">
        <v>29</v>
      </c>
      <c r="D126" s="80" t="s">
        <v>36</v>
      </c>
      <c r="E126" s="80" t="s">
        <v>36</v>
      </c>
      <c r="F126" s="80" t="s">
        <v>36</v>
      </c>
      <c r="G126" s="80" t="s">
        <v>38</v>
      </c>
    </row>
    <row r="127" spans="1:7" hidden="1" x14ac:dyDescent="0.4">
      <c r="A127" s="71"/>
      <c r="B127" s="76"/>
      <c r="C127" s="76"/>
      <c r="D127" s="76"/>
      <c r="E127" s="76"/>
      <c r="F127" s="76"/>
      <c r="G127" s="76"/>
    </row>
    <row r="128" spans="1:7" hidden="1" x14ac:dyDescent="0.4">
      <c r="A128" s="85">
        <v>43814</v>
      </c>
      <c r="B128" s="40">
        <v>0</v>
      </c>
      <c r="C128" s="87">
        <v>0</v>
      </c>
      <c r="D128" s="40">
        <v>0</v>
      </c>
      <c r="E128" s="40">
        <v>0</v>
      </c>
      <c r="F128" s="40">
        <v>0</v>
      </c>
      <c r="G128" s="40">
        <f>SUM(B128,D128:F128)</f>
        <v>0</v>
      </c>
    </row>
    <row r="129" spans="1:7" hidden="1" x14ac:dyDescent="0.4">
      <c r="A129" s="85">
        <v>43997</v>
      </c>
      <c r="B129" s="40">
        <v>0</v>
      </c>
      <c r="C129" s="87">
        <v>0</v>
      </c>
      <c r="D129" s="40">
        <v>0</v>
      </c>
      <c r="E129" s="40">
        <v>0</v>
      </c>
      <c r="F129" s="40">
        <v>0</v>
      </c>
      <c r="G129" s="40">
        <f>SUM(B129,D129:F129)</f>
        <v>0</v>
      </c>
    </row>
    <row r="130" spans="1:7" hidden="1" x14ac:dyDescent="0.4"/>
    <row r="131" spans="1:7" x14ac:dyDescent="0.4">
      <c r="A131" s="124" t="s">
        <v>49</v>
      </c>
      <c r="B131" s="124"/>
      <c r="C131" s="125"/>
      <c r="D131" s="125"/>
      <c r="E131" s="125"/>
      <c r="F131" s="125"/>
      <c r="G131" s="125"/>
    </row>
    <row r="132" spans="1:7" x14ac:dyDescent="0.4">
      <c r="A132" s="126" t="s">
        <v>95</v>
      </c>
      <c r="B132" s="126"/>
      <c r="C132" s="127"/>
      <c r="D132" s="127"/>
      <c r="E132" s="127"/>
      <c r="F132" s="127"/>
      <c r="G132" s="127"/>
    </row>
    <row r="133" spans="1:7" x14ac:dyDescent="0.4">
      <c r="A133" s="74"/>
      <c r="B133" s="75"/>
      <c r="C133" s="75"/>
      <c r="D133" s="75"/>
      <c r="E133" s="75"/>
      <c r="F133" s="75"/>
      <c r="G133" s="75"/>
    </row>
    <row r="134" spans="1:7" x14ac:dyDescent="0.4">
      <c r="A134" s="71" t="s">
        <v>56</v>
      </c>
      <c r="E134" s="76" t="s">
        <v>35</v>
      </c>
      <c r="F134" s="76" t="s">
        <v>37</v>
      </c>
    </row>
    <row r="135" spans="1:7" ht="13.5" thickBot="1" x14ac:dyDescent="0.45">
      <c r="A135" s="79" t="s">
        <v>27</v>
      </c>
      <c r="B135" s="80" t="s">
        <v>25</v>
      </c>
      <c r="C135" s="80" t="s">
        <v>29</v>
      </c>
      <c r="D135" s="80" t="s">
        <v>36</v>
      </c>
      <c r="E135" s="80" t="s">
        <v>36</v>
      </c>
      <c r="F135" s="80" t="s">
        <v>36</v>
      </c>
      <c r="G135" s="80" t="s">
        <v>38</v>
      </c>
    </row>
    <row r="136" spans="1:7" x14ac:dyDescent="0.4">
      <c r="A136" s="71"/>
      <c r="B136" s="76"/>
      <c r="C136" s="76"/>
      <c r="D136" s="76"/>
      <c r="E136" s="76"/>
      <c r="F136" s="76"/>
      <c r="G136" s="76"/>
    </row>
    <row r="137" spans="1:7" x14ac:dyDescent="0.4">
      <c r="A137" s="85">
        <v>43814</v>
      </c>
      <c r="B137" s="40">
        <v>0</v>
      </c>
      <c r="C137" s="101">
        <v>0</v>
      </c>
      <c r="D137" s="40">
        <v>406862.5</v>
      </c>
      <c r="E137" s="40">
        <v>0</v>
      </c>
      <c r="F137" s="40">
        <v>0</v>
      </c>
      <c r="G137" s="40">
        <f>SUM(B137,D137:F137)</f>
        <v>406862.5</v>
      </c>
    </row>
    <row r="138" spans="1:7" x14ac:dyDescent="0.4">
      <c r="A138" s="85">
        <v>43997</v>
      </c>
      <c r="B138" s="40">
        <v>2850000</v>
      </c>
      <c r="C138" s="101">
        <v>5.5E-2</v>
      </c>
      <c r="D138" s="40">
        <v>406862.5</v>
      </c>
      <c r="E138" s="40">
        <v>0</v>
      </c>
      <c r="F138" s="40">
        <v>0</v>
      </c>
      <c r="G138" s="40">
        <f>SUM(B138,D138:F138)</f>
        <v>3256862.5</v>
      </c>
    </row>
    <row r="140" spans="1:7" x14ac:dyDescent="0.4">
      <c r="A140" s="124" t="s">
        <v>49</v>
      </c>
      <c r="B140" s="124"/>
      <c r="C140" s="125"/>
      <c r="D140" s="125"/>
      <c r="E140" s="125"/>
      <c r="F140" s="125"/>
      <c r="G140" s="125"/>
    </row>
    <row r="141" spans="1:7" x14ac:dyDescent="0.4">
      <c r="A141" s="126" t="s">
        <v>96</v>
      </c>
      <c r="B141" s="126"/>
      <c r="C141" s="127"/>
      <c r="D141" s="127"/>
      <c r="E141" s="127"/>
      <c r="F141" s="127"/>
      <c r="G141" s="127"/>
    </row>
    <row r="142" spans="1:7" x14ac:dyDescent="0.4">
      <c r="A142" s="74"/>
      <c r="B142" s="75"/>
      <c r="C142" s="75"/>
      <c r="D142" s="75"/>
      <c r="E142" s="75"/>
      <c r="F142" s="75"/>
      <c r="G142" s="75"/>
    </row>
    <row r="143" spans="1:7" x14ac:dyDescent="0.4">
      <c r="A143" s="71" t="s">
        <v>56</v>
      </c>
      <c r="E143" s="76" t="s">
        <v>35</v>
      </c>
      <c r="F143" s="76" t="s">
        <v>37</v>
      </c>
    </row>
    <row r="144" spans="1:7" ht="13.5" thickBot="1" x14ac:dyDescent="0.45">
      <c r="A144" s="79" t="s">
        <v>27</v>
      </c>
      <c r="B144" s="80" t="s">
        <v>25</v>
      </c>
      <c r="C144" s="80" t="s">
        <v>29</v>
      </c>
      <c r="D144" s="80" t="s">
        <v>36</v>
      </c>
      <c r="E144" s="80" t="s">
        <v>36</v>
      </c>
      <c r="F144" s="80" t="s">
        <v>36</v>
      </c>
      <c r="G144" s="80" t="s">
        <v>38</v>
      </c>
    </row>
    <row r="145" spans="1:7" x14ac:dyDescent="0.4">
      <c r="A145" s="71"/>
      <c r="B145" s="76"/>
      <c r="C145" s="76"/>
      <c r="D145" s="76"/>
      <c r="E145" s="76"/>
      <c r="F145" s="76"/>
      <c r="G145" s="76"/>
    </row>
    <row r="146" spans="1:7" x14ac:dyDescent="0.4">
      <c r="A146" s="85">
        <v>43814</v>
      </c>
      <c r="B146" s="40">
        <v>255000</v>
      </c>
      <c r="C146" s="87">
        <v>5.5E-2</v>
      </c>
      <c r="D146" s="40">
        <v>2239737.5</v>
      </c>
      <c r="E146" s="40">
        <v>0</v>
      </c>
      <c r="F146" s="40">
        <v>0</v>
      </c>
      <c r="G146" s="40">
        <f>SUM(B146,D146:F146)</f>
        <v>2494737.5</v>
      </c>
    </row>
    <row r="147" spans="1:7" x14ac:dyDescent="0.4">
      <c r="A147" s="85">
        <v>43997</v>
      </c>
      <c r="B147" s="40">
        <v>290000</v>
      </c>
      <c r="C147" s="87">
        <v>5.5E-2</v>
      </c>
      <c r="D147" s="40">
        <v>2232725</v>
      </c>
      <c r="E147" s="40">
        <v>0</v>
      </c>
      <c r="F147" s="40">
        <v>0</v>
      </c>
      <c r="G147" s="40">
        <f>SUM(B147,D147:F147)</f>
        <v>2522725</v>
      </c>
    </row>
    <row r="149" spans="1:7" x14ac:dyDescent="0.4">
      <c r="A149" s="124" t="s">
        <v>49</v>
      </c>
      <c r="B149" s="124"/>
      <c r="C149" s="125"/>
      <c r="D149" s="125"/>
      <c r="E149" s="125"/>
      <c r="F149" s="125"/>
      <c r="G149" s="125"/>
    </row>
    <row r="150" spans="1:7" x14ac:dyDescent="0.4">
      <c r="A150" s="126" t="s">
        <v>97</v>
      </c>
      <c r="B150" s="126"/>
      <c r="C150" s="127"/>
      <c r="D150" s="127"/>
      <c r="E150" s="127"/>
      <c r="F150" s="127"/>
      <c r="G150" s="127"/>
    </row>
    <row r="151" spans="1:7" x14ac:dyDescent="0.4">
      <c r="A151" s="74"/>
      <c r="B151" s="75"/>
      <c r="C151" s="75"/>
      <c r="D151" s="75"/>
      <c r="E151" s="75"/>
      <c r="F151" s="75"/>
      <c r="G151" s="75"/>
    </row>
    <row r="152" spans="1:7" x14ac:dyDescent="0.4">
      <c r="A152" s="71" t="s">
        <v>56</v>
      </c>
      <c r="E152" s="76" t="s">
        <v>35</v>
      </c>
      <c r="F152" s="76" t="s">
        <v>37</v>
      </c>
    </row>
    <row r="153" spans="1:7" ht="13.5" thickBot="1" x14ac:dyDescent="0.45">
      <c r="A153" s="79" t="s">
        <v>27</v>
      </c>
      <c r="B153" s="80" t="s">
        <v>25</v>
      </c>
      <c r="C153" s="80" t="s">
        <v>29</v>
      </c>
      <c r="D153" s="80" t="s">
        <v>36</v>
      </c>
      <c r="E153" s="80" t="s">
        <v>36</v>
      </c>
      <c r="F153" s="80" t="s">
        <v>36</v>
      </c>
      <c r="G153" s="80" t="s">
        <v>38</v>
      </c>
    </row>
    <row r="154" spans="1:7" x14ac:dyDescent="0.4">
      <c r="A154" s="71"/>
      <c r="B154" s="76"/>
      <c r="C154" s="76"/>
      <c r="D154" s="76"/>
      <c r="E154" s="76"/>
      <c r="F154" s="76"/>
      <c r="G154" s="76"/>
    </row>
    <row r="155" spans="1:7" x14ac:dyDescent="0.4">
      <c r="A155" s="85">
        <v>43814</v>
      </c>
      <c r="B155" s="40">
        <v>779430.75</v>
      </c>
      <c r="C155" s="87">
        <v>6.1499999999999999E-2</v>
      </c>
      <c r="D155" s="40">
        <v>0</v>
      </c>
      <c r="E155" s="40">
        <v>2395569.25</v>
      </c>
      <c r="F155" s="40">
        <v>0</v>
      </c>
      <c r="G155" s="40">
        <f>SUM(B155,D155:F155)</f>
        <v>3175000</v>
      </c>
    </row>
    <row r="156" spans="1:7" x14ac:dyDescent="0.4">
      <c r="A156" s="85">
        <v>43997</v>
      </c>
      <c r="B156" s="40">
        <v>0</v>
      </c>
      <c r="C156" s="87">
        <v>0</v>
      </c>
      <c r="D156" s="40">
        <v>0</v>
      </c>
      <c r="E156" s="40">
        <v>0</v>
      </c>
      <c r="F156" s="40">
        <v>0</v>
      </c>
      <c r="G156" s="40">
        <f>SUM(B156,D156:F156)</f>
        <v>0</v>
      </c>
    </row>
    <row r="158" spans="1:7" x14ac:dyDescent="0.4">
      <c r="A158" s="124" t="s">
        <v>49</v>
      </c>
      <c r="B158" s="124"/>
      <c r="C158" s="125"/>
      <c r="D158" s="125"/>
      <c r="E158" s="125"/>
      <c r="F158" s="125"/>
      <c r="G158" s="125"/>
    </row>
    <row r="159" spans="1:7" x14ac:dyDescent="0.4">
      <c r="A159" s="126" t="s">
        <v>98</v>
      </c>
      <c r="B159" s="126"/>
      <c r="C159" s="127"/>
      <c r="D159" s="127"/>
      <c r="E159" s="127"/>
      <c r="F159" s="127"/>
      <c r="G159" s="127"/>
    </row>
    <row r="160" spans="1:7" x14ac:dyDescent="0.4">
      <c r="A160" s="74"/>
      <c r="B160" s="75"/>
      <c r="C160" s="75"/>
      <c r="D160" s="75"/>
      <c r="E160" s="75"/>
      <c r="F160" s="75"/>
      <c r="G160" s="75"/>
    </row>
    <row r="161" spans="1:7" x14ac:dyDescent="0.4">
      <c r="A161" s="71" t="s">
        <v>56</v>
      </c>
      <c r="E161" s="76" t="s">
        <v>35</v>
      </c>
      <c r="F161" s="76" t="s">
        <v>37</v>
      </c>
    </row>
    <row r="162" spans="1:7" ht="13.5" thickBot="1" x14ac:dyDescent="0.45">
      <c r="A162" s="79" t="s">
        <v>27</v>
      </c>
      <c r="B162" s="80" t="s">
        <v>25</v>
      </c>
      <c r="C162" s="80" t="s">
        <v>29</v>
      </c>
      <c r="D162" s="80" t="s">
        <v>36</v>
      </c>
      <c r="E162" s="80" t="s">
        <v>36</v>
      </c>
      <c r="F162" s="80" t="s">
        <v>36</v>
      </c>
      <c r="G162" s="80" t="s">
        <v>38</v>
      </c>
    </row>
    <row r="163" spans="1:7" x14ac:dyDescent="0.4">
      <c r="A163" s="71"/>
      <c r="B163" s="76"/>
      <c r="C163" s="76"/>
      <c r="D163" s="76"/>
      <c r="E163" s="76"/>
      <c r="F163" s="76"/>
      <c r="G163" s="76"/>
    </row>
    <row r="164" spans="1:7" x14ac:dyDescent="0.4">
      <c r="A164" s="85">
        <v>43814</v>
      </c>
      <c r="B164" s="40">
        <v>0</v>
      </c>
      <c r="C164" s="87">
        <v>0</v>
      </c>
      <c r="D164" s="40">
        <v>0</v>
      </c>
      <c r="E164" s="40">
        <v>0</v>
      </c>
      <c r="F164" s="40">
        <v>0</v>
      </c>
      <c r="G164" s="40">
        <f>SUM(B164,D164:F164)</f>
        <v>0</v>
      </c>
    </row>
    <row r="165" spans="1:7" x14ac:dyDescent="0.4">
      <c r="A165" s="85">
        <v>43997</v>
      </c>
      <c r="B165" s="40">
        <v>1497247.5</v>
      </c>
      <c r="C165" s="87">
        <v>6.7000000000000004E-2</v>
      </c>
      <c r="D165" s="40">
        <v>0</v>
      </c>
      <c r="E165" s="40">
        <v>6797752.5</v>
      </c>
      <c r="F165" s="40">
        <v>0</v>
      </c>
      <c r="G165" s="40">
        <f>SUM(B165,D165:F165)</f>
        <v>8295000</v>
      </c>
    </row>
    <row r="167" spans="1:7" x14ac:dyDescent="0.4">
      <c r="A167" s="124" t="s">
        <v>49</v>
      </c>
      <c r="B167" s="124"/>
      <c r="C167" s="125"/>
      <c r="D167" s="125"/>
      <c r="E167" s="125"/>
      <c r="F167" s="125"/>
      <c r="G167" s="125"/>
    </row>
    <row r="168" spans="1:7" x14ac:dyDescent="0.4">
      <c r="A168" s="126" t="s">
        <v>99</v>
      </c>
      <c r="B168" s="126"/>
      <c r="C168" s="127"/>
      <c r="D168" s="127"/>
      <c r="E168" s="127"/>
      <c r="F168" s="127"/>
      <c r="G168" s="127"/>
    </row>
    <row r="169" spans="1:7" x14ac:dyDescent="0.4">
      <c r="A169" s="74"/>
      <c r="B169" s="75"/>
      <c r="C169" s="75"/>
      <c r="D169" s="75"/>
      <c r="E169" s="75"/>
      <c r="F169" s="75"/>
      <c r="G169" s="75"/>
    </row>
    <row r="170" spans="1:7" x14ac:dyDescent="0.4">
      <c r="A170" s="71" t="s">
        <v>56</v>
      </c>
      <c r="E170" s="76" t="s">
        <v>35</v>
      </c>
      <c r="F170" s="76" t="s">
        <v>37</v>
      </c>
    </row>
    <row r="171" spans="1:7" ht="13.5" thickBot="1" x14ac:dyDescent="0.45">
      <c r="A171" s="79" t="s">
        <v>27</v>
      </c>
      <c r="B171" s="80" t="s">
        <v>25</v>
      </c>
      <c r="C171" s="80" t="s">
        <v>29</v>
      </c>
      <c r="D171" s="80" t="s">
        <v>36</v>
      </c>
      <c r="E171" s="80" t="s">
        <v>36</v>
      </c>
      <c r="F171" s="80" t="s">
        <v>36</v>
      </c>
      <c r="G171" s="80" t="s">
        <v>38</v>
      </c>
    </row>
    <row r="172" spans="1:7" x14ac:dyDescent="0.4">
      <c r="A172" s="71"/>
      <c r="B172" s="76"/>
      <c r="C172" s="76"/>
      <c r="D172" s="76"/>
      <c r="E172" s="76"/>
      <c r="F172" s="76"/>
      <c r="G172" s="76"/>
    </row>
    <row r="173" spans="1:7" x14ac:dyDescent="0.4">
      <c r="A173" s="85">
        <v>43814</v>
      </c>
      <c r="B173" s="40">
        <v>0</v>
      </c>
      <c r="C173" s="87">
        <v>0</v>
      </c>
      <c r="D173" s="40">
        <v>0</v>
      </c>
      <c r="E173" s="40">
        <v>0</v>
      </c>
      <c r="F173" s="40">
        <v>0</v>
      </c>
      <c r="G173" s="40">
        <f>SUM(B173,D173:F173)</f>
        <v>0</v>
      </c>
    </row>
    <row r="174" spans="1:7" x14ac:dyDescent="0.4">
      <c r="A174" s="85">
        <v>43997</v>
      </c>
      <c r="B174" s="40">
        <v>535182.5</v>
      </c>
      <c r="C174" s="87">
        <v>6.7000000000000004E-2</v>
      </c>
      <c r="D174" s="40">
        <v>0</v>
      </c>
      <c r="E174" s="40">
        <v>2429817.5</v>
      </c>
      <c r="F174" s="40">
        <v>0</v>
      </c>
      <c r="G174" s="40">
        <f>SUM(B174,D174:F174)</f>
        <v>2965000</v>
      </c>
    </row>
    <row r="176" spans="1:7" x14ac:dyDescent="0.4">
      <c r="A176" s="124" t="s">
        <v>49</v>
      </c>
      <c r="B176" s="124"/>
      <c r="C176" s="125"/>
      <c r="D176" s="125"/>
      <c r="E176" s="125"/>
      <c r="F176" s="125"/>
      <c r="G176" s="125"/>
    </row>
    <row r="177" spans="1:8" x14ac:dyDescent="0.4">
      <c r="A177" s="126" t="s">
        <v>100</v>
      </c>
      <c r="B177" s="126"/>
      <c r="C177" s="127"/>
      <c r="D177" s="127"/>
      <c r="E177" s="127"/>
      <c r="F177" s="127"/>
      <c r="G177" s="127"/>
    </row>
    <row r="178" spans="1:8" x14ac:dyDescent="0.4">
      <c r="A178" s="74"/>
      <c r="B178" s="75"/>
      <c r="C178" s="75"/>
      <c r="D178" s="75"/>
      <c r="E178" s="75"/>
      <c r="F178" s="75"/>
      <c r="G178" s="75"/>
    </row>
    <row r="179" spans="1:8" x14ac:dyDescent="0.4">
      <c r="A179" s="71" t="s">
        <v>56</v>
      </c>
      <c r="E179" s="76" t="s">
        <v>35</v>
      </c>
      <c r="F179" s="76" t="s">
        <v>37</v>
      </c>
    </row>
    <row r="180" spans="1:8" ht="13.5" thickBot="1" x14ac:dyDescent="0.45">
      <c r="A180" s="79" t="s">
        <v>27</v>
      </c>
      <c r="B180" s="80" t="s">
        <v>25</v>
      </c>
      <c r="C180" s="80" t="s">
        <v>29</v>
      </c>
      <c r="D180" s="80" t="s">
        <v>36</v>
      </c>
      <c r="E180" s="80" t="s">
        <v>36</v>
      </c>
      <c r="F180" s="80" t="s">
        <v>36</v>
      </c>
      <c r="G180" s="80" t="s">
        <v>38</v>
      </c>
    </row>
    <row r="181" spans="1:8" x14ac:dyDescent="0.4">
      <c r="A181" s="71"/>
      <c r="B181" s="76"/>
      <c r="C181" s="76"/>
      <c r="D181" s="76"/>
      <c r="E181" s="76"/>
      <c r="F181" s="76"/>
      <c r="G181" s="76"/>
    </row>
    <row r="182" spans="1:8" x14ac:dyDescent="0.4">
      <c r="A182" s="85">
        <v>43814</v>
      </c>
      <c r="B182" s="40">
        <v>0</v>
      </c>
      <c r="C182" s="87">
        <v>0</v>
      </c>
      <c r="D182" s="40">
        <v>0</v>
      </c>
      <c r="E182" s="40">
        <v>0</v>
      </c>
      <c r="F182" s="40">
        <v>0</v>
      </c>
      <c r="G182" s="40">
        <f>SUM(B182,D182:F182)</f>
        <v>0</v>
      </c>
    </row>
    <row r="183" spans="1:8" x14ac:dyDescent="0.4">
      <c r="A183" s="85">
        <v>43997</v>
      </c>
      <c r="B183" s="40">
        <v>8747702.4499999993</v>
      </c>
      <c r="C183" s="87">
        <v>6.7500000000000004E-2</v>
      </c>
      <c r="D183" s="40">
        <v>0</v>
      </c>
      <c r="E183" s="40">
        <v>45347297.549999997</v>
      </c>
      <c r="F183" s="40">
        <v>0</v>
      </c>
      <c r="G183" s="40">
        <f>SUM(B183,D183:F183)</f>
        <v>54095000</v>
      </c>
    </row>
    <row r="185" spans="1:8" x14ac:dyDescent="0.4">
      <c r="A185" s="124" t="s">
        <v>81</v>
      </c>
      <c r="B185" s="124"/>
      <c r="C185" s="125"/>
      <c r="D185" s="125"/>
      <c r="E185" s="125"/>
      <c r="F185" s="125"/>
      <c r="G185" s="125"/>
    </row>
    <row r="186" spans="1:8" x14ac:dyDescent="0.4">
      <c r="A186" s="126"/>
      <c r="B186" s="126"/>
      <c r="C186" s="127"/>
      <c r="D186" s="127"/>
      <c r="E186" s="127"/>
      <c r="F186" s="127"/>
      <c r="G186" s="127"/>
    </row>
    <row r="187" spans="1:8" x14ac:dyDescent="0.4">
      <c r="A187" s="74"/>
      <c r="B187" s="75"/>
      <c r="C187" s="75"/>
      <c r="D187" s="75"/>
      <c r="E187" s="75"/>
      <c r="F187" s="75"/>
      <c r="G187" s="75"/>
    </row>
    <row r="188" spans="1:8" x14ac:dyDescent="0.4">
      <c r="A188" s="71" t="s">
        <v>56</v>
      </c>
      <c r="E188" s="76" t="s">
        <v>35</v>
      </c>
      <c r="F188" s="76" t="s">
        <v>37</v>
      </c>
    </row>
    <row r="189" spans="1:8" ht="13.5" thickBot="1" x14ac:dyDescent="0.45">
      <c r="A189" s="79" t="s">
        <v>27</v>
      </c>
      <c r="B189" s="80" t="s">
        <v>25</v>
      </c>
      <c r="C189" s="80" t="s">
        <v>29</v>
      </c>
      <c r="D189" s="80" t="s">
        <v>36</v>
      </c>
      <c r="E189" s="80" t="s">
        <v>36</v>
      </c>
      <c r="F189" s="80" t="s">
        <v>36</v>
      </c>
      <c r="G189" s="80" t="s">
        <v>38</v>
      </c>
    </row>
    <row r="190" spans="1:8" x14ac:dyDescent="0.4">
      <c r="A190" s="71"/>
      <c r="B190" s="76"/>
      <c r="C190" s="76"/>
      <c r="D190" s="76"/>
      <c r="E190" s="76"/>
      <c r="F190" s="76"/>
      <c r="G190" s="76"/>
    </row>
    <row r="191" spans="1:8" x14ac:dyDescent="0.4">
      <c r="A191" s="85">
        <v>43814</v>
      </c>
      <c r="B191" s="40">
        <f>SUM(B11,B20,B29,B38,B47,B56,B65,B74,B83,B92,B101,B110,B119,B137,B146,B155,B164,B173,B182)</f>
        <v>1374430.75</v>
      </c>
      <c r="C191" s="123" t="s">
        <v>106</v>
      </c>
      <c r="D191" s="40">
        <f t="shared" ref="D191:G192" si="0">SUM(D11,D20,D29,D38,D47,D56,D65,D74,D83,D92,D101,D110,D119,D137,D146,D155,D164,D173,D182)</f>
        <v>58930863.75</v>
      </c>
      <c r="E191" s="40">
        <f t="shared" si="0"/>
        <v>2395569.25</v>
      </c>
      <c r="F191" s="40">
        <f t="shared" si="0"/>
        <v>0</v>
      </c>
      <c r="G191" s="40">
        <f t="shared" si="0"/>
        <v>62700863.75</v>
      </c>
      <c r="H191" s="40"/>
    </row>
    <row r="192" spans="1:8" x14ac:dyDescent="0.4">
      <c r="A192" s="85">
        <v>43997</v>
      </c>
      <c r="B192" s="40">
        <f>SUM(B12,B21,B30,B39,B48,B57,B66,B75,B84,B93,B102,B111,B120,B138,B147,B156,B165,B174,B183)</f>
        <v>13920132.449999999</v>
      </c>
      <c r="C192" s="123" t="s">
        <v>106</v>
      </c>
      <c r="D192" s="40">
        <f t="shared" si="0"/>
        <v>69160799.69083333</v>
      </c>
      <c r="E192" s="40">
        <f t="shared" si="0"/>
        <v>54574867.549999997</v>
      </c>
      <c r="F192" s="40">
        <f t="shared" si="0"/>
        <v>-9710616.6699999999</v>
      </c>
      <c r="G192" s="40">
        <f t="shared" si="0"/>
        <v>127945183.02083333</v>
      </c>
    </row>
    <row r="195" spans="1:2" ht="13.9" x14ac:dyDescent="0.4">
      <c r="A195" s="204">
        <f ca="1">NOW()</f>
        <v>43964.712793749997</v>
      </c>
      <c r="B195" s="204"/>
    </row>
  </sheetData>
  <mergeCells count="1">
    <mergeCell ref="A195:B195"/>
  </mergeCells>
  <pageMargins left="0.7" right="0.7" top="0.75" bottom="0.75" header="0.3" footer="0.3"/>
  <pageSetup fitToHeight="6" orientation="portrait" r:id="rId1"/>
  <rowBreaks count="3" manualBreakCount="3">
    <brk id="57" max="16383" man="1"/>
    <brk id="102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COI</vt:lpstr>
      <vt:lpstr>C-05 2019A</vt:lpstr>
      <vt:lpstr>2020A</vt:lpstr>
      <vt:lpstr>C-31 1of3</vt:lpstr>
      <vt:lpstr>C-31 2of3</vt:lpstr>
      <vt:lpstr>C-31 3of3</vt:lpstr>
      <vt:lpstr>Total Debt</vt:lpstr>
      <vt:lpstr>Prior</vt:lpstr>
      <vt:lpstr>Series Detail</vt:lpstr>
      <vt:lpstr>Refunded Prior</vt:lpstr>
      <vt:lpstr>FY2020</vt:lpstr>
      <vt:lpstr>'2020A'!Print_Area</vt:lpstr>
      <vt:lpstr>'C-31 2of3'!Print_Area</vt:lpstr>
      <vt:lpstr>'C-31 3of3'!Print_Area</vt:lpstr>
      <vt:lpstr>COI!Print_Area</vt:lpstr>
      <vt:lpstr>Prior!Print_Area</vt:lpstr>
      <vt:lpstr>'Series Detail'!Print_Area</vt:lpstr>
      <vt:lpstr>'Total Debt'!Print_Area</vt:lpstr>
      <vt:lpstr>'2020A'!Print_Titles</vt:lpstr>
      <vt:lpstr>Prior!Print_Titles</vt:lpstr>
      <vt:lpstr>'Total Debt'!Print_Titles</vt:lpstr>
      <vt:lpstr>SeriesTotalEPB_DS</vt:lpstr>
      <vt:lpstr>TotalEPB_DS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2020-05-13T22:06:52Z</cp:lastPrinted>
  <dcterms:created xsi:type="dcterms:W3CDTF">1999-09-09T17:30:14Z</dcterms:created>
  <dcterms:modified xsi:type="dcterms:W3CDTF">2020-05-13T22:12:12Z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